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i unidad\UAM\Academia\24P\LMEC\v_1_2\v_1_4\"/>
    </mc:Choice>
  </mc:AlternateContent>
  <xr:revisionPtr revIDLastSave="0" documentId="13_ncr:1_{CEE4305F-31AB-476C-BB88-AC5F5DBECB7E}" xr6:coauthVersionLast="47" xr6:coauthVersionMax="47" xr10:uidLastSave="{00000000-0000-0000-0000-000000000000}"/>
  <bookViews>
    <workbookView xWindow="760" yWindow="760" windowWidth="19490" windowHeight="15910" xr2:uid="{6A155B08-9E57-431F-80F1-B50292ED37A1}"/>
  </bookViews>
  <sheets>
    <sheet name="Hoja1" sheetId="1" r:id="rId1"/>
    <sheet name="Hoja2" sheetId="2" r:id="rId2"/>
    <sheet name="Hoja3" sheetId="3" r:id="rId3"/>
  </sheets>
  <definedNames>
    <definedName name="_xlnm.Print_Area" localSheetId="0">Hoja1!$B$2:$N$51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2" i="1" l="1"/>
  <c r="L28" i="1"/>
  <c r="L48" i="1"/>
  <c r="L42" i="1"/>
  <c r="L40" i="1"/>
  <c r="L39" i="1"/>
  <c r="L36" i="1"/>
  <c r="L34" i="1"/>
  <c r="L33" i="1"/>
  <c r="L30" i="1"/>
  <c r="L27" i="1"/>
  <c r="L24" i="1"/>
  <c r="L21" i="1"/>
  <c r="E36" i="1"/>
  <c r="E33" i="1"/>
  <c r="E30" i="1"/>
  <c r="E27" i="1"/>
  <c r="E24" i="1"/>
  <c r="E21" i="1"/>
  <c r="D23" i="1"/>
  <c r="J17" i="1"/>
  <c r="E17" i="1"/>
  <c r="L14" i="1"/>
  <c r="L12" i="1"/>
  <c r="L10" i="1"/>
  <c r="L9" i="1"/>
  <c r="L8" i="1"/>
  <c r="H14" i="1"/>
  <c r="D27" i="1" s="1"/>
  <c r="E6" i="1"/>
  <c r="E5" i="1"/>
  <c r="H13" i="1"/>
  <c r="H5" i="1"/>
  <c r="H4" i="1"/>
  <c r="G12" i="1"/>
  <c r="H6" i="1" s="1"/>
  <c r="H12" i="1"/>
  <c r="H9" i="1" s="1"/>
  <c r="H19" i="1"/>
  <c r="G13" i="1"/>
  <c r="D19" i="1"/>
  <c r="D26" i="1" s="1"/>
  <c r="D25" i="1" s="1"/>
  <c r="G14" i="1"/>
  <c r="D30" i="1"/>
  <c r="D24" i="1"/>
  <c r="H11" i="1" l="1"/>
  <c r="D7" i="1" s="1"/>
  <c r="M4" i="1"/>
  <c r="D35" i="1" s="1"/>
  <c r="D34" i="1" s="1"/>
  <c r="H25" i="1"/>
  <c r="H24" i="1"/>
  <c r="H10" i="1"/>
  <c r="K8" i="1" s="1"/>
  <c r="D22" i="1"/>
  <c r="D21" i="1"/>
  <c r="D29" i="1"/>
  <c r="D28" i="1" s="1"/>
  <c r="D32" i="1"/>
  <c r="K9" i="1" l="1"/>
  <c r="K13" i="1" s="1"/>
  <c r="K4" i="1"/>
  <c r="K5" i="1"/>
  <c r="M5" i="1" s="1"/>
  <c r="H30" i="1"/>
  <c r="D31" i="1"/>
  <c r="H27" i="1"/>
  <c r="H21" i="1"/>
  <c r="K21" i="1" s="1"/>
  <c r="H22" i="1"/>
  <c r="K22" i="1" s="1"/>
  <c r="H28" i="1"/>
  <c r="K28" i="1" s="1"/>
  <c r="H31" i="1"/>
  <c r="K10" i="1" l="1"/>
  <c r="K48" i="1" s="1"/>
  <c r="K6" i="1"/>
  <c r="D36" i="1" s="1"/>
  <c r="D33" i="1"/>
  <c r="H34" i="1" s="1"/>
  <c r="K12" i="1"/>
  <c r="K27" i="1"/>
  <c r="K24" i="1"/>
  <c r="K26" i="1"/>
  <c r="K25" i="1" s="1"/>
  <c r="H33" i="1" l="1"/>
  <c r="M6" i="1"/>
  <c r="D38" i="1" s="1"/>
  <c r="D37" i="1" s="1"/>
  <c r="K50" i="1"/>
  <c r="K49" i="1" s="1"/>
  <c r="K14" i="1"/>
  <c r="K15" i="1"/>
  <c r="K30" i="1"/>
  <c r="K32" i="1"/>
  <c r="K31" i="1" s="1"/>
  <c r="K45" i="1" l="1"/>
  <c r="K46" i="1"/>
  <c r="H37" i="1"/>
  <c r="K34" i="1" s="1"/>
  <c r="K40" i="1" s="1"/>
  <c r="H36" i="1"/>
  <c r="K33" i="1" s="1"/>
  <c r="K36" i="1" l="1"/>
  <c r="K39" i="1"/>
  <c r="K44" i="1" s="1"/>
  <c r="K43" i="1" s="1"/>
  <c r="K38" i="1"/>
  <c r="K37" i="1" s="1"/>
  <c r="K42" i="1" l="1"/>
</calcChain>
</file>

<file path=xl/sharedStrings.xml><?xml version="1.0" encoding="utf-8"?>
<sst xmlns="http://schemas.openxmlformats.org/spreadsheetml/2006/main" count="122" uniqueCount="87">
  <si>
    <t>r1</t>
  </si>
  <si>
    <t>r2</t>
  </si>
  <si>
    <t>r3</t>
  </si>
  <si>
    <t>r4</t>
  </si>
  <si>
    <t>G</t>
  </si>
  <si>
    <t>H</t>
  </si>
  <si>
    <t>I</t>
  </si>
  <si>
    <t>J</t>
  </si>
  <si>
    <t>K</t>
  </si>
  <si>
    <t>L</t>
  </si>
  <si>
    <t>rpm</t>
  </si>
  <si>
    <t>rad/s2</t>
  </si>
  <si>
    <t>rad</t>
  </si>
  <si>
    <t>rg2</t>
  </si>
  <si>
    <t>rg3</t>
  </si>
  <si>
    <t>X</t>
  </si>
  <si>
    <t>Y</t>
  </si>
  <si>
    <r>
      <t>q</t>
    </r>
    <r>
      <rPr>
        <sz val="10"/>
        <rFont val="Arial"/>
        <family val="2"/>
      </rPr>
      <t>3</t>
    </r>
  </si>
  <si>
    <r>
      <t>w</t>
    </r>
    <r>
      <rPr>
        <sz val="10"/>
        <rFont val="Arial"/>
        <family val="2"/>
      </rPr>
      <t>3</t>
    </r>
  </si>
  <si>
    <r>
      <t>a</t>
    </r>
    <r>
      <rPr>
        <sz val="10"/>
        <rFont val="Arial"/>
        <family val="2"/>
      </rPr>
      <t>3</t>
    </r>
  </si>
  <si>
    <t>*</t>
  </si>
  <si>
    <r>
      <t>q</t>
    </r>
    <r>
      <rPr>
        <sz val="10"/>
        <rFont val="Arial"/>
        <family val="2"/>
      </rPr>
      <t>1</t>
    </r>
  </si>
  <si>
    <r>
      <t>q</t>
    </r>
    <r>
      <rPr>
        <sz val="10"/>
        <rFont val="Arial"/>
        <family val="2"/>
      </rPr>
      <t>2</t>
    </r>
  </si>
  <si>
    <r>
      <t>q</t>
    </r>
    <r>
      <rPr>
        <sz val="10"/>
        <rFont val="Arial"/>
        <family val="2"/>
      </rPr>
      <t>4</t>
    </r>
  </si>
  <si>
    <r>
      <t>w</t>
    </r>
    <r>
      <rPr>
        <sz val="10"/>
        <rFont val="Arial"/>
        <family val="2"/>
      </rPr>
      <t>2</t>
    </r>
  </si>
  <si>
    <r>
      <t>a</t>
    </r>
    <r>
      <rPr>
        <sz val="10"/>
        <rFont val="Arial"/>
        <family val="2"/>
      </rPr>
      <t>2</t>
    </r>
  </si>
  <si>
    <t>Conf.</t>
  </si>
  <si>
    <t>°</t>
  </si>
  <si>
    <t>rad/s</t>
  </si>
  <si>
    <t>|Ang2|</t>
  </si>
  <si>
    <r>
      <t xml:space="preserve">q </t>
    </r>
    <r>
      <rPr>
        <sz val="10"/>
        <rFont val="Arial"/>
        <family val="2"/>
      </rPr>
      <t>Ang2</t>
    </r>
  </si>
  <si>
    <t>|Atg2|</t>
  </si>
  <si>
    <r>
      <t>q</t>
    </r>
    <r>
      <rPr>
        <sz val="10"/>
        <rFont val="Arial"/>
        <family val="2"/>
      </rPr>
      <t xml:space="preserve"> Atg2</t>
    </r>
  </si>
  <si>
    <t>|Ana|</t>
  </si>
  <si>
    <r>
      <t>q</t>
    </r>
    <r>
      <rPr>
        <sz val="10"/>
        <rFont val="Arial"/>
        <family val="2"/>
      </rPr>
      <t xml:space="preserve"> Ana</t>
    </r>
  </si>
  <si>
    <t>|Ata|</t>
  </si>
  <si>
    <r>
      <t>q</t>
    </r>
    <r>
      <rPr>
        <sz val="10"/>
        <rFont val="Arial"/>
        <family val="2"/>
      </rPr>
      <t xml:space="preserve"> Ata</t>
    </r>
  </si>
  <si>
    <t>|Ang3a|</t>
  </si>
  <si>
    <r>
      <t>q</t>
    </r>
    <r>
      <rPr>
        <sz val="10"/>
        <rFont val="Arial"/>
        <family val="2"/>
      </rPr>
      <t xml:space="preserve"> Ang3a</t>
    </r>
  </si>
  <si>
    <t>|Atg3a|</t>
  </si>
  <si>
    <r>
      <t>q</t>
    </r>
    <r>
      <rPr>
        <sz val="10"/>
        <rFont val="Arial"/>
        <family val="2"/>
      </rPr>
      <t xml:space="preserve"> Atg3a</t>
    </r>
  </si>
  <si>
    <t>Ag2x</t>
  </si>
  <si>
    <t>Ag2y</t>
  </si>
  <si>
    <t>Ag2</t>
  </si>
  <si>
    <r>
      <t>q</t>
    </r>
    <r>
      <rPr>
        <sz val="10"/>
        <rFont val="Arial"/>
        <family val="2"/>
      </rPr>
      <t xml:space="preserve"> Ag2</t>
    </r>
  </si>
  <si>
    <t>Aax</t>
  </si>
  <si>
    <t>Aay</t>
  </si>
  <si>
    <t>Aa</t>
  </si>
  <si>
    <r>
      <t>q</t>
    </r>
    <r>
      <rPr>
        <sz val="10"/>
        <rFont val="Arial"/>
        <family val="2"/>
      </rPr>
      <t xml:space="preserve"> Aa</t>
    </r>
  </si>
  <si>
    <t>Ag3ax</t>
  </si>
  <si>
    <t>Ag3ay</t>
  </si>
  <si>
    <t>Ag3a</t>
  </si>
  <si>
    <r>
      <t>q</t>
    </r>
    <r>
      <rPr>
        <sz val="10"/>
        <rFont val="Arial"/>
        <family val="2"/>
      </rPr>
      <t xml:space="preserve"> Ag3a</t>
    </r>
  </si>
  <si>
    <t>Ag3x</t>
  </si>
  <si>
    <t>Ag3y</t>
  </si>
  <si>
    <t>Ag3</t>
  </si>
  <si>
    <r>
      <t>q</t>
    </r>
    <r>
      <rPr>
        <sz val="10"/>
        <rFont val="Arial"/>
        <family val="2"/>
      </rPr>
      <t xml:space="preserve"> Ag3</t>
    </r>
  </si>
  <si>
    <t>ING. ROMY PEREZ MORENO</t>
  </si>
  <si>
    <t>MANIVELA</t>
  </si>
  <si>
    <t>ACOPLADOR</t>
  </si>
  <si>
    <t>CORREDERA</t>
  </si>
  <si>
    <t>Ag4x</t>
  </si>
  <si>
    <t>Ag4y</t>
  </si>
  <si>
    <t>Ag4</t>
  </si>
  <si>
    <r>
      <t>q</t>
    </r>
    <r>
      <rPr>
        <sz val="10"/>
        <rFont val="Arial"/>
        <family val="2"/>
      </rPr>
      <t xml:space="preserve"> Ag4</t>
    </r>
  </si>
  <si>
    <t>ABIERTA</t>
  </si>
  <si>
    <t>Dato del problema</t>
  </si>
  <si>
    <t>Resultados</t>
  </si>
  <si>
    <r>
      <t>q</t>
    </r>
    <r>
      <rPr>
        <sz val="10"/>
        <rFont val="Arial"/>
        <family val="2"/>
      </rPr>
      <t xml:space="preserve"> V4</t>
    </r>
  </si>
  <si>
    <r>
      <t>q</t>
    </r>
    <r>
      <rPr>
        <sz val="10"/>
        <rFont val="Arial"/>
        <family val="2"/>
      </rPr>
      <t xml:space="preserve"> A4</t>
    </r>
  </si>
  <si>
    <t>|V4|</t>
  </si>
  <si>
    <t>|A4|</t>
  </si>
  <si>
    <r>
      <t>g</t>
    </r>
    <r>
      <rPr>
        <sz val="10"/>
        <rFont val="Arial"/>
        <family val="2"/>
      </rPr>
      <t>2</t>
    </r>
  </si>
  <si>
    <r>
      <t>g</t>
    </r>
    <r>
      <rPr>
        <sz val="10"/>
        <rFont val="Arial"/>
        <family val="2"/>
      </rPr>
      <t>3</t>
    </r>
  </si>
  <si>
    <t>Distancia</t>
  </si>
  <si>
    <t>Velocidad</t>
  </si>
  <si>
    <t>Configuración</t>
  </si>
  <si>
    <t>mm</t>
  </si>
  <si>
    <t>cm</t>
  </si>
  <si>
    <t>CRUZADA</t>
  </si>
  <si>
    <t>m</t>
  </si>
  <si>
    <t>ft</t>
  </si>
  <si>
    <t>in</t>
  </si>
  <si>
    <t>yd</t>
  </si>
  <si>
    <t>v4</t>
  </si>
  <si>
    <t>a4</t>
  </si>
  <si>
    <t>MANIVELA CORREDERA - ECUACIONES (v 1.4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</si>
</sst>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99CCFF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/>
    <xf numFmtId="164" fontId="4" fillId="0" borderId="0" xfId="0" applyNumberFormat="1" applyFont="1"/>
    <xf numFmtId="164" fontId="6" fillId="0" borderId="0" xfId="0" applyNumberFormat="1" applyFont="1"/>
    <xf numFmtId="0" fontId="6" fillId="0" borderId="0" xfId="0" applyFont="1"/>
    <xf numFmtId="0" fontId="8" fillId="0" borderId="0" xfId="0" applyFont="1"/>
    <xf numFmtId="164" fontId="6" fillId="2" borderId="0" xfId="0" applyNumberFormat="1" applyFont="1" applyFill="1" applyProtection="1">
      <protection locked="0"/>
    </xf>
    <xf numFmtId="0" fontId="6" fillId="2" borderId="0" xfId="0" applyFont="1" applyFill="1" applyProtection="1">
      <protection locked="0"/>
    </xf>
    <xf numFmtId="0" fontId="8" fillId="2" borderId="1" xfId="0" applyFont="1" applyFill="1" applyBorder="1" applyProtection="1">
      <protection locked="0"/>
    </xf>
    <xf numFmtId="0" fontId="1" fillId="2" borderId="0" xfId="0" applyFont="1" applyFill="1"/>
    <xf numFmtId="0" fontId="1" fillId="3" borderId="0" xfId="0" applyFont="1" applyFill="1"/>
    <xf numFmtId="0" fontId="4" fillId="0" borderId="2" xfId="0" applyFont="1" applyBorder="1"/>
    <xf numFmtId="0" fontId="4" fillId="0" borderId="3" xfId="0" applyFont="1" applyBorder="1"/>
    <xf numFmtId="164" fontId="4" fillId="0" borderId="3" xfId="0" applyNumberFormat="1" applyFont="1" applyBorder="1"/>
    <xf numFmtId="0" fontId="4" fillId="0" borderId="4" xfId="0" applyFont="1" applyBorder="1"/>
    <xf numFmtId="0" fontId="6" fillId="0" borderId="5" xfId="0" applyFont="1" applyBorder="1" applyAlignment="1">
      <alignment horizontal="right"/>
    </xf>
    <xf numFmtId="0" fontId="6" fillId="2" borderId="1" xfId="0" applyFont="1" applyFill="1" applyBorder="1"/>
    <xf numFmtId="0" fontId="6" fillId="0" borderId="1" xfId="0" applyFont="1" applyBorder="1"/>
    <xf numFmtId="0" fontId="4" fillId="0" borderId="1" xfId="0" applyFont="1" applyBorder="1"/>
    <xf numFmtId="164" fontId="4" fillId="0" borderId="1" xfId="0" applyNumberFormat="1" applyFont="1" applyBorder="1"/>
    <xf numFmtId="0" fontId="5" fillId="3" borderId="1" xfId="0" applyFont="1" applyFill="1" applyBorder="1"/>
    <xf numFmtId="164" fontId="6" fillId="3" borderId="1" xfId="0" applyNumberFormat="1" applyFont="1" applyFill="1" applyBorder="1"/>
    <xf numFmtId="164" fontId="6" fillId="0" borderId="1" xfId="0" applyNumberFormat="1" applyFont="1" applyBorder="1"/>
    <xf numFmtId="0" fontId="6" fillId="0" borderId="6" xfId="0" applyFont="1" applyBorder="1"/>
    <xf numFmtId="0" fontId="6" fillId="0" borderId="7" xfId="0" applyFont="1" applyBorder="1"/>
    <xf numFmtId="0" fontId="6" fillId="2" borderId="0" xfId="0" applyFont="1" applyFill="1"/>
    <xf numFmtId="0" fontId="5" fillId="3" borderId="0" xfId="0" applyFont="1" applyFill="1"/>
    <xf numFmtId="164" fontId="6" fillId="3" borderId="0" xfId="0" applyNumberFormat="1" applyFont="1" applyFill="1"/>
    <xf numFmtId="0" fontId="6" fillId="0" borderId="8" xfId="0" applyFont="1" applyBorder="1"/>
    <xf numFmtId="0" fontId="6" fillId="0" borderId="7" xfId="0" applyFont="1" applyBorder="1" applyAlignment="1">
      <alignment horizontal="right"/>
    </xf>
    <xf numFmtId="0" fontId="5" fillId="0" borderId="0" xfId="0" applyFont="1"/>
    <xf numFmtId="0" fontId="5" fillId="2" borderId="0" xfId="0" applyFont="1" applyFill="1"/>
    <xf numFmtId="0" fontId="6" fillId="3" borderId="0" xfId="0" applyFont="1" applyFill="1"/>
    <xf numFmtId="0" fontId="6" fillId="0" borderId="9" xfId="0" applyFont="1" applyBorder="1"/>
    <xf numFmtId="164" fontId="6" fillId="0" borderId="9" xfId="0" applyNumberFormat="1" applyFont="1" applyBorder="1"/>
    <xf numFmtId="0" fontId="6" fillId="0" borderId="10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5" xfId="0" applyFont="1" applyBorder="1"/>
    <xf numFmtId="0" fontId="7" fillId="2" borderId="1" xfId="0" applyFont="1" applyFill="1" applyBorder="1"/>
    <xf numFmtId="164" fontId="8" fillId="0" borderId="1" xfId="0" applyNumberFormat="1" applyFont="1" applyBorder="1"/>
    <xf numFmtId="0" fontId="8" fillId="0" borderId="1" xfId="0" applyFont="1" applyBorder="1"/>
    <xf numFmtId="0" fontId="8" fillId="0" borderId="6" xfId="0" applyFont="1" applyBorder="1"/>
    <xf numFmtId="0" fontId="8" fillId="0" borderId="7" xfId="0" applyFont="1" applyBorder="1"/>
    <xf numFmtId="0" fontId="6" fillId="0" borderId="11" xfId="0" applyFont="1" applyBorder="1"/>
    <xf numFmtId="0" fontId="5" fillId="0" borderId="9" xfId="0" applyFont="1" applyBorder="1"/>
    <xf numFmtId="0" fontId="5" fillId="3" borderId="9" xfId="0" applyFont="1" applyFill="1" applyBorder="1"/>
    <xf numFmtId="164" fontId="6" fillId="3" borderId="9" xfId="0" applyNumberFormat="1" applyFont="1" applyFill="1" applyBorder="1"/>
    <xf numFmtId="0" fontId="1" fillId="0" borderId="1" xfId="0" applyFont="1" applyBorder="1"/>
    <xf numFmtId="0" fontId="6" fillId="3" borderId="9" xfId="0" applyFont="1" applyFill="1" applyBorder="1"/>
    <xf numFmtId="0" fontId="6" fillId="0" borderId="12" xfId="0" applyFont="1" applyBorder="1"/>
    <xf numFmtId="0" fontId="6" fillId="0" borderId="13" xfId="0" applyFont="1" applyBorder="1"/>
    <xf numFmtId="164" fontId="6" fillId="0" borderId="13" xfId="0" applyNumberFormat="1" applyFont="1" applyBorder="1"/>
    <xf numFmtId="0" fontId="6" fillId="0" borderId="14" xfId="0" applyFont="1" applyBorder="1"/>
    <xf numFmtId="0" fontId="9" fillId="0" borderId="0" xfId="0" applyFont="1"/>
    <xf numFmtId="164" fontId="9" fillId="0" borderId="0" xfId="0" applyNumberFormat="1" applyFont="1"/>
    <xf numFmtId="164" fontId="9" fillId="0" borderId="9" xfId="0" applyNumberFormat="1" applyFont="1" applyBorder="1"/>
    <xf numFmtId="164" fontId="9" fillId="0" borderId="1" xfId="0" applyNumberFormat="1" applyFont="1" applyBorder="1"/>
    <xf numFmtId="0" fontId="9" fillId="0" borderId="6" xfId="0" applyFont="1" applyBorder="1"/>
    <xf numFmtId="0" fontId="7" fillId="0" borderId="0" xfId="0" applyFont="1"/>
    <xf numFmtId="164" fontId="12" fillId="0" borderId="0" xfId="0" applyNumberFormat="1" applyFont="1"/>
    <xf numFmtId="164" fontId="6" fillId="4" borderId="1" xfId="0" applyNumberFormat="1" applyFont="1" applyFill="1" applyBorder="1" applyProtection="1">
      <protection locked="0"/>
    </xf>
    <xf numFmtId="164" fontId="11" fillId="0" borderId="1" xfId="0" applyNumberFormat="1" applyFont="1" applyBorder="1"/>
    <xf numFmtId="164" fontId="11" fillId="0" borderId="0" xfId="0" applyNumberFormat="1" applyFont="1"/>
    <xf numFmtId="0" fontId="11" fillId="0" borderId="0" xfId="0" applyFont="1"/>
    <xf numFmtId="164" fontId="12" fillId="0" borderId="9" xfId="0" applyNumberFormat="1" applyFont="1" applyBorder="1"/>
    <xf numFmtId="0" fontId="12" fillId="0" borderId="0" xfId="0" applyFont="1"/>
    <xf numFmtId="0" fontId="12" fillId="0" borderId="9" xfId="0" applyFont="1" applyBorder="1"/>
    <xf numFmtId="0" fontId="6" fillId="0" borderId="21" xfId="0" applyFont="1" applyBorder="1"/>
    <xf numFmtId="164" fontId="12" fillId="0" borderId="21" xfId="0" applyNumberFormat="1" applyFont="1" applyBorder="1"/>
    <xf numFmtId="164" fontId="11" fillId="0" borderId="21" xfId="0" applyNumberFormat="1" applyFont="1" applyBorder="1"/>
    <xf numFmtId="0" fontId="7" fillId="3" borderId="0" xfId="0" applyFont="1" applyFill="1"/>
    <xf numFmtId="0" fontId="6" fillId="4" borderId="1" xfId="0" applyFont="1" applyFill="1" applyBorder="1" applyProtection="1">
      <protection locked="0"/>
    </xf>
    <xf numFmtId="0" fontId="6" fillId="4" borderId="0" xfId="0" applyFont="1" applyFill="1" applyProtection="1">
      <protection locked="0"/>
    </xf>
    <xf numFmtId="0" fontId="1" fillId="2" borderId="0" xfId="0" applyFont="1" applyFill="1" applyAlignment="1" applyProtection="1">
      <alignment horizontal="right"/>
      <protection locked="0"/>
    </xf>
    <xf numFmtId="164" fontId="1" fillId="0" borderId="0" xfId="0" applyNumberFormat="1" applyFont="1"/>
    <xf numFmtId="0" fontId="0" fillId="0" borderId="0" xfId="0"/>
    <xf numFmtId="0" fontId="3" fillId="0" borderId="15" xfId="0" applyFont="1" applyBorder="1" applyAlignment="1">
      <alignment horizontal="center"/>
    </xf>
    <xf numFmtId="0" fontId="4" fillId="0" borderId="16" xfId="0" applyFont="1" applyBorder="1"/>
    <xf numFmtId="0" fontId="4" fillId="0" borderId="17" xfId="0" applyFont="1" applyBorder="1"/>
    <xf numFmtId="0" fontId="3" fillId="0" borderId="18" xfId="0" applyFont="1" applyBorder="1" applyAlignment="1">
      <alignment horizontal="center" vertical="center" textRotation="90"/>
    </xf>
    <xf numFmtId="0" fontId="3" fillId="0" borderId="19" xfId="0" applyFont="1" applyBorder="1" applyAlignment="1">
      <alignment horizontal="center" vertical="center" textRotation="90"/>
    </xf>
    <xf numFmtId="0" fontId="3" fillId="0" borderId="20" xfId="0" applyFont="1" applyBorder="1" applyAlignment="1">
      <alignment horizontal="center" vertical="center" textRotation="90"/>
    </xf>
    <xf numFmtId="0" fontId="10" fillId="0" borderId="18" xfId="0" applyFont="1" applyBorder="1" applyAlignment="1">
      <alignment horizontal="center" vertical="center" textRotation="90"/>
    </xf>
    <xf numFmtId="0" fontId="10" fillId="0" borderId="19" xfId="0" applyFont="1" applyBorder="1" applyAlignment="1">
      <alignment horizontal="center" vertical="center" textRotation="90"/>
    </xf>
    <xf numFmtId="0" fontId="10" fillId="0" borderId="20" xfId="0" applyFont="1" applyBorder="1" applyAlignment="1">
      <alignment horizontal="center" vertical="center" textRotation="90"/>
    </xf>
  </cellXfs>
  <cellStyles count="1"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</dxfs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77D49C9-792C-4DA8-870B-A8C7B35FCE21}" name="Tabla1" displayName="Tabla1" ref="C57:E63" totalsRowShown="0" headerRowDxfId="4" dataDxfId="3">
  <autoFilter ref="C57:E63" xr:uid="{777D49C9-792C-4DA8-870B-A8C7B35FCE21}"/>
  <tableColumns count="3">
    <tableColumn id="1" xr3:uid="{7BAAE0AD-3683-43EF-9060-066A9A61DC3D}" name="Distancia" dataDxfId="2"/>
    <tableColumn id="2" xr3:uid="{017C18F1-C784-41DA-95B1-8E7D3F9802E1}" name="Velocidad" dataDxfId="1"/>
    <tableColumn id="3" xr3:uid="{D79F7CE7-4779-4488-8A3B-6AB4919500CC}" name="Configuració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F4629-1FD2-4BDE-9272-5340CA2140C5}">
  <dimension ref="A1:Q67"/>
  <sheetViews>
    <sheetView tabSelected="1" workbookViewId="0">
      <selection activeCell="Q18" sqref="Q18"/>
    </sheetView>
  </sheetViews>
  <sheetFormatPr baseColWidth="10" defaultRowHeight="12.5" x14ac:dyDescent="0.25"/>
  <cols>
    <col min="1" max="1" width="3.453125" style="6" customWidth="1"/>
    <col min="2" max="2" width="2.81640625" style="6" customWidth="1"/>
    <col min="3" max="3" width="7.453125" style="6" customWidth="1"/>
    <col min="4" max="4" width="14.7265625" style="6" customWidth="1"/>
    <col min="5" max="5" width="9.7265625" style="6" customWidth="1"/>
    <col min="6" max="6" width="2.1796875" style="6" customWidth="1"/>
    <col min="7" max="7" width="3.81640625" style="6" customWidth="1"/>
    <col min="8" max="8" width="15.81640625" style="5" customWidth="1"/>
    <col min="9" max="9" width="1.81640625" style="6" customWidth="1"/>
    <col min="10" max="10" width="6.1796875" style="6" customWidth="1"/>
    <col min="11" max="11" width="15.1796875" style="6" customWidth="1"/>
    <col min="12" max="12" width="7.7265625" style="6" customWidth="1"/>
    <col min="13" max="13" width="9" style="6" customWidth="1"/>
    <col min="14" max="14" width="4" style="6" customWidth="1"/>
    <col min="15" max="15" width="4.1796875" style="6" customWidth="1"/>
    <col min="16" max="17" width="11.453125" style="6" customWidth="1"/>
  </cols>
  <sheetData>
    <row r="1" spans="1:14" s="1" customFormat="1" ht="13" thickBot="1" x14ac:dyDescent="0.3">
      <c r="H1" s="2"/>
    </row>
    <row r="2" spans="1:14" s="3" customFormat="1" ht="13.5" thickBot="1" x14ac:dyDescent="0.35">
      <c r="A2" s="1"/>
      <c r="B2" s="79" t="s">
        <v>86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1"/>
    </row>
    <row r="3" spans="1:14" s="3" customFormat="1" x14ac:dyDescent="0.25">
      <c r="B3" s="13"/>
      <c r="C3" s="14"/>
      <c r="D3" s="14"/>
      <c r="E3" s="14"/>
      <c r="F3" s="14"/>
      <c r="G3" s="14"/>
      <c r="H3" s="15"/>
      <c r="I3" s="14"/>
      <c r="J3" s="14"/>
      <c r="K3" s="14"/>
      <c r="L3" s="14"/>
      <c r="M3" s="14"/>
      <c r="N3" s="16"/>
    </row>
    <row r="4" spans="1:14" x14ac:dyDescent="0.25">
      <c r="A4" s="3"/>
      <c r="B4" s="17"/>
      <c r="C4" s="18" t="s">
        <v>0</v>
      </c>
      <c r="D4" s="63">
        <v>85.212999999999994</v>
      </c>
      <c r="E4" s="74" t="s">
        <v>77</v>
      </c>
      <c r="F4" s="20"/>
      <c r="G4" s="20" t="s">
        <v>4</v>
      </c>
      <c r="H4" s="21">
        <f>D6*SIN(H13)</f>
        <v>40.980641419345254</v>
      </c>
      <c r="I4" s="20"/>
      <c r="J4" s="22" t="s">
        <v>17</v>
      </c>
      <c r="K4" s="23">
        <f>DEGREES(M4)</f>
        <v>-29.452265221932294</v>
      </c>
      <c r="L4" s="24" t="s">
        <v>27</v>
      </c>
      <c r="M4" s="59">
        <f>2*ATAN((-H5-SQRT(H4^2+H5^2-H6^2))/(H6-H4))</f>
        <v>-0.51403900029333693</v>
      </c>
      <c r="N4" s="60" t="s">
        <v>12</v>
      </c>
    </row>
    <row r="5" spans="1:14" x14ac:dyDescent="0.25">
      <c r="B5" s="26"/>
      <c r="C5" s="27" t="s">
        <v>1</v>
      </c>
      <c r="D5" s="9">
        <v>44.104199999999999</v>
      </c>
      <c r="E5" s="6" t="str">
        <f>E4</f>
        <v>mm</v>
      </c>
      <c r="G5" s="6" t="s">
        <v>5</v>
      </c>
      <c r="H5" s="5">
        <f>-D6*COS(H13)</f>
        <v>-170.76624340000294</v>
      </c>
      <c r="J5" s="28" t="s">
        <v>18</v>
      </c>
      <c r="K5" s="29">
        <f>(-H14*D5*COS(H12-H13))/(D6*COS(M4-H13))</f>
        <v>-33.671008126802462</v>
      </c>
      <c r="L5" s="5" t="s">
        <v>28</v>
      </c>
      <c r="M5" s="29">
        <f>K5*30/PI()</f>
        <v>-321.53444293607947</v>
      </c>
      <c r="N5" s="30" t="s">
        <v>10</v>
      </c>
    </row>
    <row r="6" spans="1:14" x14ac:dyDescent="0.25">
      <c r="B6" s="26"/>
      <c r="C6" s="27" t="s">
        <v>2</v>
      </c>
      <c r="D6" s="9">
        <v>175.6147</v>
      </c>
      <c r="E6" s="6" t="str">
        <f>E4</f>
        <v>mm</v>
      </c>
      <c r="G6" s="6" t="s">
        <v>6</v>
      </c>
      <c r="H6" s="5">
        <f>-D4*G12-D5*SIN(H12-H13)</f>
        <v>-119.65000127785123</v>
      </c>
      <c r="J6" s="28" t="s">
        <v>19</v>
      </c>
      <c r="K6" s="29">
        <f>(K5^2*D6*SIN(M4-H13)+H14^2*D5*SIN(H12-H13)-D11*D5*COS(H12-H13))/(D6*COS(M4-H13))</f>
        <v>5383.2603322974801</v>
      </c>
      <c r="L6" s="5" t="s">
        <v>11</v>
      </c>
      <c r="M6" s="57">
        <f>IF(K6&lt;0,-1,1)</f>
        <v>1</v>
      </c>
      <c r="N6" s="30"/>
    </row>
    <row r="7" spans="1:14" x14ac:dyDescent="0.25">
      <c r="B7" s="31"/>
      <c r="C7" s="32" t="s">
        <v>21</v>
      </c>
      <c r="D7" s="5">
        <f>DEGREES(H11)</f>
        <v>-76.505300000000005</v>
      </c>
      <c r="E7" s="6" t="s">
        <v>27</v>
      </c>
      <c r="K7" s="5"/>
      <c r="L7" s="5"/>
      <c r="M7" s="5"/>
      <c r="N7" s="30"/>
    </row>
    <row r="8" spans="1:14" x14ac:dyDescent="0.25">
      <c r="B8" s="26"/>
      <c r="C8" s="33" t="s">
        <v>22</v>
      </c>
      <c r="D8" s="9">
        <v>64.829499999999996</v>
      </c>
      <c r="E8" s="6" t="s">
        <v>27</v>
      </c>
      <c r="G8" s="6" t="s">
        <v>7</v>
      </c>
      <c r="H8" s="5">
        <v>1</v>
      </c>
      <c r="J8" s="34" t="s">
        <v>3</v>
      </c>
      <c r="K8" s="29">
        <f>0.5*(-H9+SQRT(H9^2-4*H10))</f>
        <v>156.10218385499203</v>
      </c>
      <c r="L8" s="5" t="str">
        <f>E4</f>
        <v>mm</v>
      </c>
      <c r="M8" s="5"/>
      <c r="N8" s="30"/>
    </row>
    <row r="9" spans="1:14" x14ac:dyDescent="0.25">
      <c r="B9" s="31" t="s">
        <v>20</v>
      </c>
      <c r="C9" s="33" t="s">
        <v>23</v>
      </c>
      <c r="D9" s="9">
        <v>13.4947</v>
      </c>
      <c r="E9" s="6" t="s">
        <v>27</v>
      </c>
      <c r="G9" s="6" t="s">
        <v>8</v>
      </c>
      <c r="H9" s="5">
        <f>-2*D5*COS(H12-H13)</f>
        <v>-55.10983217645547</v>
      </c>
      <c r="J9" s="73" t="s">
        <v>84</v>
      </c>
      <c r="K9" s="29">
        <f>(H14*D5*SIN(M4-H12))/(COS(H13-M4))</f>
        <v>-9438.0876767064437</v>
      </c>
      <c r="L9" s="5" t="str">
        <f>_xlfn.CONCAT($E$4,"/s")</f>
        <v>mm/s</v>
      </c>
      <c r="N9" s="30"/>
    </row>
    <row r="10" spans="1:14" x14ac:dyDescent="0.25">
      <c r="B10" s="26"/>
      <c r="C10" s="33" t="s">
        <v>24</v>
      </c>
      <c r="D10" s="8">
        <v>1500</v>
      </c>
      <c r="E10" s="75" t="s">
        <v>10</v>
      </c>
      <c r="G10" s="6" t="s">
        <v>9</v>
      </c>
      <c r="H10" s="5">
        <f>2*D4*G12*D5*SIN(H12-H13)+D4^2+D5^2-D6^2</f>
        <v>-15765.126649670925</v>
      </c>
      <c r="J10" s="73" t="s">
        <v>85</v>
      </c>
      <c r="K10" s="29">
        <f>(D11*D5*SIN(M4-H12)-H14^2*D5*COS(H12-M4)-K5^2*D6)/COS(H13-M4)</f>
        <v>-209071.56462337598</v>
      </c>
      <c r="L10" s="5" t="str">
        <f>_xlfn.CONCAT($E$4,"/s2")</f>
        <v>mm/s2</v>
      </c>
      <c r="N10" s="30"/>
    </row>
    <row r="11" spans="1:14" x14ac:dyDescent="0.25">
      <c r="B11" s="26"/>
      <c r="C11" s="33" t="s">
        <v>25</v>
      </c>
      <c r="D11" s="8">
        <v>800</v>
      </c>
      <c r="E11" s="6" t="s">
        <v>11</v>
      </c>
      <c r="G11" s="56"/>
      <c r="H11" s="57">
        <f>H13+0.5*PI()*G14</f>
        <v>-1.3352693802260178</v>
      </c>
      <c r="N11" s="30"/>
    </row>
    <row r="12" spans="1:14" x14ac:dyDescent="0.25">
      <c r="B12" s="31" t="s">
        <v>20</v>
      </c>
      <c r="C12" s="27" t="s">
        <v>26</v>
      </c>
      <c r="D12" s="76" t="s">
        <v>65</v>
      </c>
      <c r="G12" s="56">
        <f>IF(D12="ABIERTA",1,-1)</f>
        <v>1</v>
      </c>
      <c r="H12" s="57">
        <f>D8*PI()/180</f>
        <v>1.1314882274216638</v>
      </c>
      <c r="J12" s="73" t="s">
        <v>70</v>
      </c>
      <c r="K12" s="29">
        <f>ABS(K9)</f>
        <v>9438.0876767064437</v>
      </c>
      <c r="L12" s="5" t="str">
        <f>_xlfn.CONCAT($E$4,"/s")</f>
        <v>mm/s</v>
      </c>
      <c r="N12" s="30"/>
    </row>
    <row r="13" spans="1:14" x14ac:dyDescent="0.25">
      <c r="B13" s="31"/>
      <c r="C13" s="5"/>
      <c r="D13" s="5"/>
      <c r="E13" s="1"/>
      <c r="G13" s="56">
        <f>IF(D11&lt;0,-1,1)</f>
        <v>1</v>
      </c>
      <c r="H13" s="57">
        <f>RADIANS(D9)</f>
        <v>0.23552694656887879</v>
      </c>
      <c r="J13" s="28" t="s">
        <v>68</v>
      </c>
      <c r="K13" s="29">
        <f>IF(SIGN(K9)=1,0,-180)+D9</f>
        <v>-166.50530000000001</v>
      </c>
      <c r="L13" s="5" t="s">
        <v>27</v>
      </c>
      <c r="N13" s="30"/>
    </row>
    <row r="14" spans="1:14" x14ac:dyDescent="0.25">
      <c r="B14" s="31"/>
      <c r="C14" s="5"/>
      <c r="D14" s="5"/>
      <c r="E14" s="1"/>
      <c r="G14" s="56">
        <f>IF(D12="ABIERTA",-1,1)</f>
        <v>-1</v>
      </c>
      <c r="H14" s="62">
        <f>IF(E10="rpm",D10*PI()/30,D10)</f>
        <v>157.07963267948966</v>
      </c>
      <c r="J14" s="34" t="s">
        <v>71</v>
      </c>
      <c r="K14" s="29">
        <f>ABS(K10)</f>
        <v>209071.56462337598</v>
      </c>
      <c r="L14" s="5" t="str">
        <f>_xlfn.CONCAT($E$4,"/s2")</f>
        <v>mm/s2</v>
      </c>
      <c r="N14" s="30"/>
    </row>
    <row r="15" spans="1:14" x14ac:dyDescent="0.25">
      <c r="B15" s="46"/>
      <c r="C15" s="35"/>
      <c r="D15" s="35"/>
      <c r="E15" s="35"/>
      <c r="F15" s="35"/>
      <c r="G15" s="35"/>
      <c r="H15" s="36"/>
      <c r="I15" s="35"/>
      <c r="J15" s="48" t="s">
        <v>69</v>
      </c>
      <c r="K15" s="49">
        <f>IF(SIGN(K10)=1,0,-180)+D9</f>
        <v>-166.50530000000001</v>
      </c>
      <c r="L15" s="35" t="s">
        <v>27</v>
      </c>
      <c r="M15" s="35"/>
      <c r="N15" s="37"/>
    </row>
    <row r="16" spans="1:14" s="3" customFormat="1" x14ac:dyDescent="0.25">
      <c r="B16" s="38"/>
      <c r="H16" s="4"/>
      <c r="N16" s="39"/>
    </row>
    <row r="17" spans="1:14" s="7" customFormat="1" x14ac:dyDescent="0.25">
      <c r="A17" s="3"/>
      <c r="B17" s="40"/>
      <c r="C17" s="41" t="s">
        <v>13</v>
      </c>
      <c r="D17" s="10">
        <v>60.228099999999998</v>
      </c>
      <c r="E17" s="42" t="str">
        <f>E4</f>
        <v>mm</v>
      </c>
      <c r="F17" s="43"/>
      <c r="G17" s="41" t="s">
        <v>14</v>
      </c>
      <c r="H17" s="10">
        <v>198.56559999999999</v>
      </c>
      <c r="I17" s="42"/>
      <c r="J17" s="43" t="str">
        <f>E4</f>
        <v>mm</v>
      </c>
      <c r="K17" s="43"/>
      <c r="L17" s="43"/>
      <c r="M17" s="43"/>
      <c r="N17" s="44"/>
    </row>
    <row r="18" spans="1:14" x14ac:dyDescent="0.25">
      <c r="A18" s="7"/>
      <c r="B18" s="45"/>
      <c r="C18" s="33" t="s">
        <v>72</v>
      </c>
      <c r="D18" s="9">
        <v>148.4683</v>
      </c>
      <c r="E18" s="6" t="s">
        <v>27</v>
      </c>
      <c r="G18" s="33" t="s">
        <v>73</v>
      </c>
      <c r="H18" s="9">
        <v>19.0428</v>
      </c>
      <c r="J18" s="6" t="s">
        <v>27</v>
      </c>
      <c r="N18" s="30"/>
    </row>
    <row r="19" spans="1:14" x14ac:dyDescent="0.25">
      <c r="B19" s="46"/>
      <c r="C19" s="35"/>
      <c r="D19" s="58">
        <f>RADIANS(D18)</f>
        <v>2.5912606698386971</v>
      </c>
      <c r="E19" s="35"/>
      <c r="F19" s="35"/>
      <c r="G19" s="35"/>
      <c r="H19" s="58">
        <f>RADIANS(H18)</f>
        <v>0.33235955879877616</v>
      </c>
      <c r="I19" s="35"/>
      <c r="J19" s="35"/>
      <c r="K19" s="35"/>
      <c r="L19" s="35"/>
      <c r="M19" s="35"/>
      <c r="N19" s="37"/>
    </row>
    <row r="20" spans="1:14" x14ac:dyDescent="0.25">
      <c r="B20" s="26"/>
      <c r="E20" s="70"/>
      <c r="L20" s="70"/>
      <c r="N20" s="30"/>
    </row>
    <row r="21" spans="1:14" x14ac:dyDescent="0.25">
      <c r="B21" s="82" t="s">
        <v>58</v>
      </c>
      <c r="C21" s="19" t="s">
        <v>29</v>
      </c>
      <c r="D21" s="24">
        <f>H14^2*D17</f>
        <v>1486068.802073125</v>
      </c>
      <c r="E21" s="5" t="str">
        <f>_xlfn.CONCAT($E$4,"/s2")</f>
        <v>mm/s2</v>
      </c>
      <c r="F21" s="19"/>
      <c r="G21" s="19" t="s">
        <v>15</v>
      </c>
      <c r="H21" s="24">
        <f>D21*COS(D23)</f>
        <v>1242098.5711180321</v>
      </c>
      <c r="I21" s="19"/>
      <c r="J21" s="19" t="s">
        <v>41</v>
      </c>
      <c r="K21" s="24">
        <f>H21+H24</f>
        <v>1268550.3057404519</v>
      </c>
      <c r="L21" s="5" t="str">
        <f>_xlfn.CONCAT($E$4,"/s2")</f>
        <v>mm/s2</v>
      </c>
      <c r="M21" s="19"/>
      <c r="N21" s="25"/>
    </row>
    <row r="22" spans="1:14" x14ac:dyDescent="0.25">
      <c r="B22" s="83"/>
      <c r="C22" s="32" t="s">
        <v>30</v>
      </c>
      <c r="D22" s="5">
        <f>DEGREES(D23)</f>
        <v>393.2978</v>
      </c>
      <c r="E22" s="6" t="s">
        <v>27</v>
      </c>
      <c r="G22" s="6" t="s">
        <v>16</v>
      </c>
      <c r="H22" s="5">
        <f>D21*SIN(D23)</f>
        <v>815837.98889338074</v>
      </c>
      <c r="J22" s="6" t="s">
        <v>42</v>
      </c>
      <c r="K22" s="5">
        <f>H22+H25</f>
        <v>775565.70171701745</v>
      </c>
      <c r="L22" s="5" t="str">
        <f>_xlfn.CONCAT($E$4,"/s2")</f>
        <v>mm/s2</v>
      </c>
      <c r="N22" s="30"/>
    </row>
    <row r="23" spans="1:14" x14ac:dyDescent="0.25">
      <c r="B23" s="83"/>
      <c r="D23" s="62">
        <f>H12+D19+PI()</f>
        <v>6.8643415508501544</v>
      </c>
      <c r="E23" s="65"/>
      <c r="K23" s="5"/>
      <c r="L23" s="65"/>
      <c r="N23" s="30"/>
    </row>
    <row r="24" spans="1:14" x14ac:dyDescent="0.25">
      <c r="B24" s="83"/>
      <c r="C24" s="6" t="s">
        <v>31</v>
      </c>
      <c r="D24" s="5">
        <f>ABS(D11)*D17</f>
        <v>48182.479999999996</v>
      </c>
      <c r="E24" s="5" t="str">
        <f>_xlfn.CONCAT($E$4,"/s2")</f>
        <v>mm/s2</v>
      </c>
      <c r="G24" s="6" t="s">
        <v>15</v>
      </c>
      <c r="H24" s="5">
        <f>D24*COS(D26)</f>
        <v>26451.734622419761</v>
      </c>
      <c r="J24" s="34" t="s">
        <v>43</v>
      </c>
      <c r="K24" s="29">
        <f>SQRT(K21^2+K22^2)</f>
        <v>1486849.7018441386</v>
      </c>
      <c r="L24" s="5" t="str">
        <f>_xlfn.CONCAT($E$4,"/s2")</f>
        <v>mm/s2</v>
      </c>
      <c r="N24" s="30"/>
    </row>
    <row r="25" spans="1:14" x14ac:dyDescent="0.25">
      <c r="B25" s="84"/>
      <c r="C25" s="47" t="s">
        <v>32</v>
      </c>
      <c r="D25" s="36">
        <f>DEGREES(D26)</f>
        <v>303.2978</v>
      </c>
      <c r="E25" s="35" t="s">
        <v>27</v>
      </c>
      <c r="F25" s="35"/>
      <c r="G25" s="35" t="s">
        <v>16</v>
      </c>
      <c r="H25" s="36">
        <f>D24*SIN(D26)</f>
        <v>-40272.287176363345</v>
      </c>
      <c r="I25" s="35"/>
      <c r="J25" s="48" t="s">
        <v>44</v>
      </c>
      <c r="K25" s="49">
        <f>DEGREES(K26)</f>
        <v>31.440762163032812</v>
      </c>
      <c r="L25" s="35" t="s">
        <v>27</v>
      </c>
      <c r="M25" s="35"/>
      <c r="N25" s="37"/>
    </row>
    <row r="26" spans="1:14" x14ac:dyDescent="0.25">
      <c r="B26" s="26"/>
      <c r="D26" s="67">
        <f>H12+D19+G13*PI()/2</f>
        <v>5.2935452240552578</v>
      </c>
      <c r="E26" s="71"/>
      <c r="F26" s="68"/>
      <c r="G26" s="68"/>
      <c r="H26" s="62"/>
      <c r="I26" s="68"/>
      <c r="J26" s="68"/>
      <c r="K26" s="67">
        <f>ATAN2(K21,K22)</f>
        <v>0.54874481908137673</v>
      </c>
      <c r="L26" s="72"/>
      <c r="N26" s="30"/>
    </row>
    <row r="27" spans="1:14" x14ac:dyDescent="0.25">
      <c r="B27" s="82" t="s">
        <v>59</v>
      </c>
      <c r="C27" s="19" t="s">
        <v>33</v>
      </c>
      <c r="D27" s="24">
        <f>H14^2*D5</f>
        <v>1088227.5160663133</v>
      </c>
      <c r="E27" s="5" t="str">
        <f>_xlfn.CONCAT($E$4,"/s2")</f>
        <v>mm/s2</v>
      </c>
      <c r="F27" s="19"/>
      <c r="G27" s="19" t="s">
        <v>15</v>
      </c>
      <c r="H27" s="24">
        <f>D27*COS(D29)</f>
        <v>-462837.70665544603</v>
      </c>
      <c r="I27" s="19"/>
      <c r="J27" s="19" t="s">
        <v>45</v>
      </c>
      <c r="K27" s="24">
        <f>H27+H30</f>
        <v>-494770.77593828656</v>
      </c>
      <c r="L27" s="5" t="str">
        <f>_xlfn.CONCAT($E$4,"/s2")</f>
        <v>mm/s2</v>
      </c>
      <c r="M27" s="19"/>
      <c r="N27" s="25"/>
    </row>
    <row r="28" spans="1:14" x14ac:dyDescent="0.25">
      <c r="B28" s="83"/>
      <c r="C28" s="32" t="s">
        <v>34</v>
      </c>
      <c r="D28" s="5">
        <f>DEGREES(D29)</f>
        <v>244.8295</v>
      </c>
      <c r="E28" s="6" t="s">
        <v>27</v>
      </c>
      <c r="G28" s="6" t="s">
        <v>16</v>
      </c>
      <c r="H28" s="5">
        <f>D27*SIN(D29)</f>
        <v>-984896.12854441931</v>
      </c>
      <c r="J28" s="6" t="s">
        <v>46</v>
      </c>
      <c r="K28" s="5">
        <f>H28+H31</f>
        <v>-969889.64397717617</v>
      </c>
      <c r="L28" s="5" t="str">
        <f>_xlfn.CONCAT($E$4,"/s2")</f>
        <v>mm/s2</v>
      </c>
      <c r="N28" s="30"/>
    </row>
    <row r="29" spans="1:14" x14ac:dyDescent="0.25">
      <c r="B29" s="83"/>
      <c r="D29" s="62">
        <f>H12+PI()</f>
        <v>4.2730808810114569</v>
      </c>
      <c r="E29" s="62"/>
      <c r="F29" s="68"/>
      <c r="G29" s="68"/>
      <c r="H29" s="62"/>
      <c r="I29" s="68"/>
      <c r="J29" s="68"/>
      <c r="K29" s="62"/>
      <c r="L29" s="65"/>
      <c r="N29" s="30"/>
    </row>
    <row r="30" spans="1:14" x14ac:dyDescent="0.25">
      <c r="B30" s="83"/>
      <c r="C30" s="6" t="s">
        <v>35</v>
      </c>
      <c r="D30" s="5">
        <f>ABS(D11)*D5</f>
        <v>35283.360000000001</v>
      </c>
      <c r="E30" s="5" t="str">
        <f>_xlfn.CONCAT($E$4,"/s2")</f>
        <v>mm/s2</v>
      </c>
      <c r="G30" s="6" t="s">
        <v>15</v>
      </c>
      <c r="H30" s="5">
        <f>D30*COS(D32)</f>
        <v>-31933.069282840519</v>
      </c>
      <c r="J30" s="6" t="s">
        <v>47</v>
      </c>
      <c r="K30" s="5">
        <f>SQRT(K27^2+K28^2)</f>
        <v>1088799.3581081631</v>
      </c>
      <c r="L30" s="5" t="str">
        <f>_xlfn.CONCAT($E$4,"/s2")</f>
        <v>mm/s2</v>
      </c>
      <c r="N30" s="30"/>
    </row>
    <row r="31" spans="1:14" x14ac:dyDescent="0.25">
      <c r="B31" s="83"/>
      <c r="C31" s="32" t="s">
        <v>36</v>
      </c>
      <c r="D31" s="5">
        <f>DEGREES(D32)</f>
        <v>154.8295</v>
      </c>
      <c r="E31" s="6" t="s">
        <v>27</v>
      </c>
      <c r="G31" s="6" t="s">
        <v>16</v>
      </c>
      <c r="H31" s="5">
        <f>D30*SIN(D32)</f>
        <v>15006.484567243167</v>
      </c>
      <c r="J31" s="32" t="s">
        <v>48</v>
      </c>
      <c r="K31" s="5">
        <f>DEGREES(K32)</f>
        <v>-117.0275378369672</v>
      </c>
      <c r="L31" s="6" t="s">
        <v>27</v>
      </c>
      <c r="N31" s="30"/>
    </row>
    <row r="32" spans="1:14" x14ac:dyDescent="0.25">
      <c r="B32" s="83"/>
      <c r="D32" s="62">
        <f>H12+G13*PI()/2</f>
        <v>2.7022845542165603</v>
      </c>
      <c r="E32" s="66"/>
      <c r="K32" s="62">
        <f>ATAN2(K27,K28)</f>
        <v>-2.0425158507573205</v>
      </c>
      <c r="L32" s="65"/>
      <c r="N32" s="30"/>
    </row>
    <row r="33" spans="2:14" x14ac:dyDescent="0.25">
      <c r="B33" s="83"/>
      <c r="C33" s="6" t="s">
        <v>37</v>
      </c>
      <c r="D33" s="5">
        <f>K5^2*H17</f>
        <v>225121.12560593756</v>
      </c>
      <c r="E33" s="5" t="str">
        <f>_xlfn.CONCAT($E$4,"/s2")</f>
        <v>mm/s2</v>
      </c>
      <c r="G33" s="6" t="s">
        <v>15</v>
      </c>
      <c r="H33" s="5">
        <f>D33*COS(D35)</f>
        <v>-221416.0001221867</v>
      </c>
      <c r="J33" s="6" t="s">
        <v>49</v>
      </c>
      <c r="K33" s="5">
        <f>H33+H36</f>
        <v>-28279.929977731983</v>
      </c>
      <c r="L33" s="5" t="str">
        <f>_xlfn.CONCAT($E$4,"/s2")</f>
        <v>mm/s2</v>
      </c>
      <c r="N33" s="30"/>
    </row>
    <row r="34" spans="2:14" x14ac:dyDescent="0.25">
      <c r="B34" s="83"/>
      <c r="C34" s="32" t="s">
        <v>38</v>
      </c>
      <c r="D34" s="5">
        <f>DEGREES(D35)</f>
        <v>169.59053477806771</v>
      </c>
      <c r="E34" s="6" t="s">
        <v>27</v>
      </c>
      <c r="G34" s="6" t="s">
        <v>16</v>
      </c>
      <c r="H34" s="5">
        <f>D33*SIN(D35)</f>
        <v>40675.251492475538</v>
      </c>
      <c r="J34" s="6" t="s">
        <v>50</v>
      </c>
      <c r="K34" s="5">
        <f>H34+H37</f>
        <v>1092012.7248112089</v>
      </c>
      <c r="L34" s="5" t="str">
        <f>_xlfn.CONCAT($E$4,"/s2")</f>
        <v>mm/s2</v>
      </c>
      <c r="N34" s="30"/>
    </row>
    <row r="35" spans="2:14" x14ac:dyDescent="0.25">
      <c r="B35" s="83"/>
      <c r="D35" s="62">
        <f>M4+H19+PI()</f>
        <v>2.9599132120952323</v>
      </c>
      <c r="E35" s="65"/>
      <c r="K35" s="5"/>
      <c r="L35" s="65"/>
      <c r="N35" s="30"/>
    </row>
    <row r="36" spans="2:14" x14ac:dyDescent="0.25">
      <c r="B36" s="83"/>
      <c r="C36" s="6" t="s">
        <v>39</v>
      </c>
      <c r="D36" s="5">
        <f>ABS(K6)*H17</f>
        <v>1068930.3178388486</v>
      </c>
      <c r="E36" s="5" t="str">
        <f>_xlfn.CONCAT($E$4,"/s2")</f>
        <v>mm/s2</v>
      </c>
      <c r="G36" s="6" t="s">
        <v>15</v>
      </c>
      <c r="H36" s="5">
        <f>D36*COS(D38)</f>
        <v>193136.07014445472</v>
      </c>
      <c r="J36" s="6" t="s">
        <v>51</v>
      </c>
      <c r="K36" s="5">
        <f>SQRT(K33^2+K34^2)</f>
        <v>1092378.8470989112</v>
      </c>
      <c r="L36" s="5" t="str">
        <f>_xlfn.CONCAT($E$4,"/s2")</f>
        <v>mm/s2</v>
      </c>
      <c r="N36" s="30"/>
    </row>
    <row r="37" spans="2:14" x14ac:dyDescent="0.25">
      <c r="B37" s="83"/>
      <c r="C37" s="32" t="s">
        <v>40</v>
      </c>
      <c r="D37" s="5">
        <f>DEGREES(D38)</f>
        <v>79.590534778067706</v>
      </c>
      <c r="E37" s="6" t="s">
        <v>27</v>
      </c>
      <c r="G37" s="6" t="s">
        <v>16</v>
      </c>
      <c r="H37" s="5">
        <f>D36*SIN(D38)</f>
        <v>1051337.4733187333</v>
      </c>
      <c r="J37" s="32" t="s">
        <v>52</v>
      </c>
      <c r="K37" s="5">
        <f>DEGREES(K38)</f>
        <v>91.483461240337761</v>
      </c>
      <c r="L37" s="6" t="s">
        <v>27</v>
      </c>
      <c r="N37" s="30"/>
    </row>
    <row r="38" spans="2:14" x14ac:dyDescent="0.25">
      <c r="B38" s="83"/>
      <c r="D38" s="62">
        <f>M4+H19+M6*PI()/2</f>
        <v>1.3891168853003357</v>
      </c>
      <c r="E38" s="66"/>
      <c r="K38" s="62">
        <f>ATAN2(K33,K34)</f>
        <v>1.5966876097645095</v>
      </c>
      <c r="L38" s="65"/>
      <c r="N38" s="30"/>
    </row>
    <row r="39" spans="2:14" x14ac:dyDescent="0.25">
      <c r="B39" s="83"/>
      <c r="E39" s="66"/>
      <c r="J39" s="6" t="s">
        <v>53</v>
      </c>
      <c r="K39" s="5">
        <f>K27+K33</f>
        <v>-523050.70591601857</v>
      </c>
      <c r="L39" s="5" t="str">
        <f>_xlfn.CONCAT($E$4,"/s2")</f>
        <v>mm/s2</v>
      </c>
      <c r="N39" s="30"/>
    </row>
    <row r="40" spans="2:14" x14ac:dyDescent="0.25">
      <c r="B40" s="83"/>
      <c r="E40" s="66"/>
      <c r="J40" s="6" t="s">
        <v>54</v>
      </c>
      <c r="K40" s="5">
        <f>K28+K34</f>
        <v>122123.08083403273</v>
      </c>
      <c r="L40" s="5" t="str">
        <f>_xlfn.CONCAT($E$4,"/s2")</f>
        <v>mm/s2</v>
      </c>
      <c r="N40" s="30"/>
    </row>
    <row r="41" spans="2:14" x14ac:dyDescent="0.25">
      <c r="B41" s="83"/>
      <c r="K41" s="5"/>
      <c r="L41" s="65"/>
      <c r="N41" s="30"/>
    </row>
    <row r="42" spans="2:14" x14ac:dyDescent="0.25">
      <c r="B42" s="83"/>
      <c r="J42" s="34" t="s">
        <v>55</v>
      </c>
      <c r="K42" s="29">
        <f>SQRT(K39^2+K40^2)</f>
        <v>537118.31827972597</v>
      </c>
      <c r="L42" s="5" t="str">
        <f>_xlfn.CONCAT($E$4,"/s2")</f>
        <v>mm/s2</v>
      </c>
      <c r="N42" s="30"/>
    </row>
    <row r="43" spans="2:14" x14ac:dyDescent="0.25">
      <c r="B43" s="84"/>
      <c r="C43" s="35"/>
      <c r="D43" s="35"/>
      <c r="E43" s="35"/>
      <c r="F43" s="35"/>
      <c r="G43" s="35"/>
      <c r="H43" s="36"/>
      <c r="I43" s="35"/>
      <c r="J43" s="48" t="s">
        <v>56</v>
      </c>
      <c r="K43" s="49">
        <f>DEGREES(K44)</f>
        <v>166.85788360158037</v>
      </c>
      <c r="L43" s="35" t="s">
        <v>27</v>
      </c>
      <c r="M43" s="35"/>
      <c r="N43" s="37"/>
    </row>
    <row r="44" spans="2:14" x14ac:dyDescent="0.25">
      <c r="B44" s="26"/>
      <c r="K44" s="67">
        <f>ATAN2(K39,K40)</f>
        <v>2.9122194517570317</v>
      </c>
      <c r="L44" s="65"/>
      <c r="N44" s="30"/>
    </row>
    <row r="45" spans="2:14" x14ac:dyDescent="0.25">
      <c r="B45" s="85" t="s">
        <v>60</v>
      </c>
      <c r="C45" s="19"/>
      <c r="D45" s="24"/>
      <c r="E45" s="24"/>
      <c r="F45" s="19"/>
      <c r="G45" s="19"/>
      <c r="H45" s="24"/>
      <c r="I45" s="19"/>
      <c r="J45" s="50" t="s">
        <v>61</v>
      </c>
      <c r="K45" s="24">
        <f>K48*COS(K50)</f>
        <v>-203299.41452791175</v>
      </c>
      <c r="L45" s="64"/>
      <c r="M45" s="19"/>
      <c r="N45" s="25"/>
    </row>
    <row r="46" spans="2:14" x14ac:dyDescent="0.25">
      <c r="B46" s="86"/>
      <c r="D46" s="5"/>
      <c r="E46" s="5"/>
      <c r="J46" s="1" t="s">
        <v>62</v>
      </c>
      <c r="K46" s="5">
        <f>K48*SIN(K50)</f>
        <v>-48787.981990186752</v>
      </c>
      <c r="L46" s="65"/>
      <c r="N46" s="30"/>
    </row>
    <row r="47" spans="2:14" x14ac:dyDescent="0.25">
      <c r="B47" s="86"/>
      <c r="D47" s="5"/>
      <c r="E47" s="5"/>
      <c r="J47" s="1"/>
      <c r="K47" s="5"/>
      <c r="L47" s="65"/>
      <c r="N47" s="30"/>
    </row>
    <row r="48" spans="2:14" x14ac:dyDescent="0.25">
      <c r="B48" s="86"/>
      <c r="D48" s="5"/>
      <c r="E48" s="5"/>
      <c r="J48" s="12" t="s">
        <v>63</v>
      </c>
      <c r="K48" s="29">
        <f>ABS(K10)</f>
        <v>209071.56462337598</v>
      </c>
      <c r="L48" s="5" t="str">
        <f>_xlfn.CONCAT($E$4,"/s2")</f>
        <v>mm/s2</v>
      </c>
      <c r="N48" s="30"/>
    </row>
    <row r="49" spans="1:14" x14ac:dyDescent="0.25">
      <c r="B49" s="87"/>
      <c r="C49" s="35"/>
      <c r="D49" s="36"/>
      <c r="E49" s="36"/>
      <c r="F49" s="35"/>
      <c r="G49" s="35"/>
      <c r="H49" s="36"/>
      <c r="I49" s="35"/>
      <c r="J49" s="48" t="s">
        <v>64</v>
      </c>
      <c r="K49" s="51">
        <f>DEGREES(K50)</f>
        <v>-166.50529999999998</v>
      </c>
      <c r="L49" s="35" t="s">
        <v>27</v>
      </c>
      <c r="M49" s="35"/>
      <c r="N49" s="37"/>
    </row>
    <row r="50" spans="1:14" ht="13" thickBot="1" x14ac:dyDescent="0.3">
      <c r="B50" s="52"/>
      <c r="C50" s="53"/>
      <c r="D50" s="53"/>
      <c r="E50" s="53"/>
      <c r="F50" s="53"/>
      <c r="G50" s="53"/>
      <c r="H50" s="54"/>
      <c r="I50" s="53"/>
      <c r="J50" s="53"/>
      <c r="K50" s="69">
        <f>IF(K10&lt;0,H13-PI(),H13)</f>
        <v>-2.9060657070209142</v>
      </c>
      <c r="L50" s="53"/>
      <c r="M50" s="53"/>
      <c r="N50" s="55"/>
    </row>
    <row r="51" spans="1:14" s="3" customFormat="1" ht="13.5" thickBot="1" x14ac:dyDescent="0.35">
      <c r="A51" s="6"/>
      <c r="B51" s="79" t="s">
        <v>57</v>
      </c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1"/>
    </row>
    <row r="52" spans="1:14" s="3" customFormat="1" x14ac:dyDescent="0.25">
      <c r="H52" s="4"/>
    </row>
    <row r="53" spans="1:14" s="3" customFormat="1" x14ac:dyDescent="0.25">
      <c r="C53" s="11"/>
      <c r="D53" s="77" t="s">
        <v>66</v>
      </c>
      <c r="E53" s="78"/>
      <c r="H53" s="4"/>
    </row>
    <row r="54" spans="1:14" s="3" customFormat="1" x14ac:dyDescent="0.25">
      <c r="C54" s="12"/>
      <c r="D54" s="77" t="s">
        <v>67</v>
      </c>
      <c r="E54" s="78"/>
      <c r="H54" s="4"/>
    </row>
    <row r="55" spans="1:14" s="3" customFormat="1" x14ac:dyDescent="0.25">
      <c r="H55" s="4"/>
    </row>
    <row r="56" spans="1:14" s="3" customFormat="1" x14ac:dyDescent="0.25">
      <c r="H56" s="4"/>
    </row>
    <row r="57" spans="1:14" s="3" customFormat="1" x14ac:dyDescent="0.25">
      <c r="C57" s="61" t="s">
        <v>74</v>
      </c>
      <c r="D57" s="61" t="s">
        <v>75</v>
      </c>
      <c r="E57" s="61" t="s">
        <v>76</v>
      </c>
      <c r="H57" s="4"/>
    </row>
    <row r="58" spans="1:14" s="3" customFormat="1" x14ac:dyDescent="0.25">
      <c r="C58" t="s">
        <v>77</v>
      </c>
      <c r="D58" s="61" t="s">
        <v>10</v>
      </c>
      <c r="E58" s="61" t="s">
        <v>65</v>
      </c>
      <c r="H58" s="4"/>
    </row>
    <row r="59" spans="1:14" s="3" customFormat="1" x14ac:dyDescent="0.25">
      <c r="C59" t="s">
        <v>78</v>
      </c>
      <c r="D59" s="61" t="s">
        <v>28</v>
      </c>
      <c r="E59" s="61" t="s">
        <v>79</v>
      </c>
      <c r="H59" s="4"/>
    </row>
    <row r="60" spans="1:14" s="3" customFormat="1" x14ac:dyDescent="0.25">
      <c r="C60" t="s">
        <v>80</v>
      </c>
      <c r="D60" s="61"/>
      <c r="E60" s="61"/>
      <c r="H60" s="4"/>
    </row>
    <row r="61" spans="1:14" s="3" customFormat="1" x14ac:dyDescent="0.25">
      <c r="C61" t="s">
        <v>81</v>
      </c>
      <c r="D61" s="61"/>
      <c r="E61" s="61"/>
      <c r="H61" s="4"/>
    </row>
    <row r="62" spans="1:14" s="3" customFormat="1" x14ac:dyDescent="0.25">
      <c r="C62" t="s">
        <v>82</v>
      </c>
      <c r="D62" s="61"/>
      <c r="E62" s="61"/>
      <c r="H62" s="4"/>
    </row>
    <row r="63" spans="1:14" s="3" customFormat="1" x14ac:dyDescent="0.25">
      <c r="C63" t="s">
        <v>83</v>
      </c>
      <c r="D63" s="61"/>
      <c r="E63" s="61"/>
      <c r="H63" s="4"/>
    </row>
    <row r="64" spans="1:14" s="3" customFormat="1" x14ac:dyDescent="0.25">
      <c r="H64" s="4"/>
    </row>
    <row r="65" spans="8:8" s="3" customFormat="1" x14ac:dyDescent="0.25">
      <c r="H65" s="4"/>
    </row>
    <row r="66" spans="8:8" s="3" customFormat="1" x14ac:dyDescent="0.25">
      <c r="H66" s="4"/>
    </row>
    <row r="67" spans="8:8" s="3" customFormat="1" x14ac:dyDescent="0.25">
      <c r="H67" s="4"/>
    </row>
  </sheetData>
  <sheetProtection algorithmName="SHA-512" hashValue="XdlzVQzEsWzOlNrWjztvCZGC1so1d15nByoslZDJhAcncOa/AJsfAp6MLGLDstEvAteS9CHxEsOR5yPDJ8ELCw==" saltValue="CwD1nonwymDitlkA0EBSJw==" spinCount="100000" sheet="1" objects="1" scenarios="1"/>
  <mergeCells count="7">
    <mergeCell ref="D53:E53"/>
    <mergeCell ref="D54:E54"/>
    <mergeCell ref="B2:N2"/>
    <mergeCell ref="B51:N51"/>
    <mergeCell ref="B21:B25"/>
    <mergeCell ref="B27:B43"/>
    <mergeCell ref="B45:B49"/>
  </mergeCells>
  <phoneticPr fontId="2" type="noConversion"/>
  <dataValidations count="3">
    <dataValidation type="list" allowBlank="1" showInputMessage="1" showErrorMessage="1" sqref="E4" xr:uid="{2AE2FCD6-D13C-470C-B29D-8104C9F35DC3}">
      <formula1>$C$58:$C$63</formula1>
    </dataValidation>
    <dataValidation type="list" allowBlank="1" showInputMessage="1" showErrorMessage="1" sqref="E10" xr:uid="{597486D8-7D5D-4548-B5F5-544111C61135}">
      <formula1>$D$58:$D$59</formula1>
    </dataValidation>
    <dataValidation type="list" allowBlank="1" showInputMessage="1" showErrorMessage="1" sqref="D12" xr:uid="{CA53E9E6-1F16-463E-96E3-1C444E754E0A}">
      <formula1>$E$58:$E$59</formula1>
    </dataValidation>
  </dataValidations>
  <printOptions horizontalCentered="1" verticalCentered="1"/>
  <pageMargins left="0.39370078740157483" right="0.39370078740157483" top="0.39370078740157483" bottom="0.39370078740157483" header="0" footer="0"/>
  <pageSetup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163CC-AE21-42F0-BFF3-24AED19C73FB}">
  <dimension ref="A1"/>
  <sheetViews>
    <sheetView workbookViewId="0"/>
  </sheetViews>
  <sheetFormatPr baseColWidth="10" defaultRowHeight="12.5" x14ac:dyDescent="0.25"/>
  <sheetData/>
  <phoneticPr fontId="2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891D7-68FC-4669-B4FA-B606EDCAAB4E}">
  <dimension ref="A1"/>
  <sheetViews>
    <sheetView workbookViewId="0"/>
  </sheetViews>
  <sheetFormatPr baseColWidth="10" defaultRowHeight="12.5" x14ac:dyDescent="0.25"/>
  <sheetData/>
  <phoneticPr fontId="2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>UAM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CEDAC - ALEXANDRIA</dc:creator>
  <cp:lastModifiedBy>Romy Pérez Moreno</cp:lastModifiedBy>
  <cp:lastPrinted>2004-11-09T17:09:41Z</cp:lastPrinted>
  <dcterms:created xsi:type="dcterms:W3CDTF">2004-05-19T18:30:29Z</dcterms:created>
  <dcterms:modified xsi:type="dcterms:W3CDTF">2024-12-16T18:45:30Z</dcterms:modified>
</cp:coreProperties>
</file>