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202300"/>
  <xr:revisionPtr revIDLastSave="0" documentId="13_ncr:1_{F6FE15A4-C75D-4F90-BA23-6EEF7652AAE3}" xr6:coauthVersionLast="47" xr6:coauthVersionMax="47" xr10:uidLastSave="{00000000-0000-0000-0000-000000000000}"/>
  <workbookProtection workbookAlgorithmName="SHA-512" workbookHashValue="M36npSDLdXZHw9Dz6yER5T5VGhVx15QybJ03T4JKilUnFoQklB932zwkjdFeFwi5e68JNHdooAdPNdI/V8IhDQ==" workbookSaltValue="t+fp+6uztUMIH8vrg3dWKw==" workbookSpinCount="100000" lockStructure="1"/>
  <bookViews>
    <workbookView xWindow="39480" yWindow="780" windowWidth="19490" windowHeight="15910" xr2:uid="{F09E1C02-5AFD-427B-86F1-3342167CBF77}"/>
  </bookViews>
  <sheets>
    <sheet name="Hoja1" sheetId="1" r:id="rId1"/>
    <sheet name="Hoja2" sheetId="2" r:id="rId2"/>
    <sheet name="Hoja3" sheetId="3" r:id="rId3"/>
  </sheets>
  <definedNames>
    <definedName name="_xlnm.Print_Area" localSheetId="0">Hoja1!$B$2:$N$53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4" i="1"/>
  <c r="L41" i="1"/>
  <c r="L39" i="1"/>
  <c r="L48" i="1"/>
  <c r="L42" i="1"/>
  <c r="L36" i="1"/>
  <c r="L30" i="1"/>
  <c r="L24" i="1"/>
  <c r="L47" i="1"/>
  <c r="L45" i="1"/>
  <c r="L44" i="1"/>
  <c r="L38" i="1"/>
  <c r="L35" i="1"/>
  <c r="L33" i="1"/>
  <c r="L32" i="1"/>
  <c r="L23" i="1"/>
  <c r="L29" i="1"/>
  <c r="L27" i="1"/>
  <c r="L26" i="1"/>
  <c r="L21" i="1"/>
  <c r="L20" i="1"/>
  <c r="E36" i="1"/>
  <c r="E33" i="1"/>
  <c r="E30" i="1"/>
  <c r="E27" i="1"/>
  <c r="E24" i="1"/>
  <c r="E21" i="1"/>
  <c r="E47" i="1"/>
  <c r="E44" i="1"/>
  <c r="E35" i="1"/>
  <c r="E32" i="1"/>
  <c r="E29" i="1"/>
  <c r="E26" i="1"/>
  <c r="E23" i="1"/>
  <c r="E20" i="1"/>
  <c r="H13" i="1"/>
  <c r="E6" i="1"/>
  <c r="E7" i="1"/>
  <c r="E8" i="1"/>
  <c r="E9" i="1"/>
  <c r="E5" i="1"/>
  <c r="G13" i="1"/>
  <c r="D29" i="1"/>
  <c r="G14" i="1"/>
  <c r="H12" i="1"/>
  <c r="D28" i="1" s="1"/>
  <c r="D27" i="1" s="1"/>
  <c r="D6" i="1"/>
  <c r="H11" i="1"/>
  <c r="D10" i="1" s="1"/>
  <c r="D23" i="1"/>
  <c r="K18" i="1"/>
  <c r="H18" i="1"/>
  <c r="D18" i="1"/>
  <c r="H5" i="1" l="1"/>
  <c r="H30" i="1"/>
  <c r="D26" i="1"/>
  <c r="D20" i="1"/>
  <c r="H10" i="1"/>
  <c r="D22" i="1"/>
  <c r="D21" i="1" s="1"/>
  <c r="D25" i="1"/>
  <c r="D24" i="1" s="1"/>
  <c r="H8" i="1"/>
  <c r="H9" i="1"/>
  <c r="D31" i="1"/>
  <c r="D30" i="1" s="1"/>
  <c r="H6" i="1"/>
  <c r="H4" i="1"/>
  <c r="M4" i="1" l="1"/>
  <c r="H21" i="1"/>
  <c r="H20" i="1"/>
  <c r="H26" i="1"/>
  <c r="H27" i="1"/>
  <c r="K27" i="1" s="1"/>
  <c r="M8" i="1"/>
  <c r="H24" i="1"/>
  <c r="H29" i="1"/>
  <c r="H23" i="1"/>
  <c r="D46" i="1" l="1"/>
  <c r="D45" i="1" s="1"/>
  <c r="K9" i="1"/>
  <c r="D32" i="1" s="1"/>
  <c r="K4" i="1"/>
  <c r="K26" i="1"/>
  <c r="K8" i="1"/>
  <c r="D34" i="1"/>
  <c r="D33" i="1" s="1"/>
  <c r="K5" i="1"/>
  <c r="K20" i="1"/>
  <c r="K21" i="1"/>
  <c r="M9" i="1" l="1"/>
  <c r="K25" i="1"/>
  <c r="K24" i="1" s="1"/>
  <c r="K23" i="1"/>
  <c r="K10" i="1"/>
  <c r="D44" i="1"/>
  <c r="M5" i="1"/>
  <c r="K31" i="1"/>
  <c r="K30" i="1" s="1"/>
  <c r="K29" i="1"/>
  <c r="K6" i="1"/>
  <c r="H33" i="1"/>
  <c r="H32" i="1"/>
  <c r="H44" i="1" l="1"/>
  <c r="H45" i="1"/>
  <c r="D47" i="1"/>
  <c r="M6" i="1"/>
  <c r="D49" i="1" s="1"/>
  <c r="D48" i="1" s="1"/>
  <c r="M10" i="1"/>
  <c r="D37" i="1" s="1"/>
  <c r="D36" i="1" s="1"/>
  <c r="D35" i="1"/>
  <c r="H36" i="1" l="1"/>
  <c r="K33" i="1" s="1"/>
  <c r="K39" i="1" s="1"/>
  <c r="H35" i="1"/>
  <c r="K32" i="1" s="1"/>
  <c r="H47" i="1"/>
  <c r="K44" i="1" s="1"/>
  <c r="H48" i="1"/>
  <c r="K45" i="1" s="1"/>
  <c r="K49" i="1" l="1"/>
  <c r="K48" i="1" s="1"/>
  <c r="K47" i="1"/>
  <c r="K35" i="1"/>
  <c r="K37" i="1"/>
  <c r="K36" i="1" s="1"/>
  <c r="K38" i="1"/>
  <c r="K43" i="1" l="1"/>
  <c r="K42" i="1" s="1"/>
  <c r="K41" i="1"/>
</calcChain>
</file>

<file path=xl/sharedStrings.xml><?xml version="1.0" encoding="utf-8"?>
<sst xmlns="http://schemas.openxmlformats.org/spreadsheetml/2006/main" count="117" uniqueCount="91">
  <si>
    <t>r1</t>
  </si>
  <si>
    <t>r2</t>
  </si>
  <si>
    <t>r3</t>
  </si>
  <si>
    <t>r4</t>
  </si>
  <si>
    <t>r1x</t>
  </si>
  <si>
    <t>r1y</t>
  </si>
  <si>
    <t>A</t>
  </si>
  <si>
    <t>B</t>
  </si>
  <si>
    <t>C</t>
  </si>
  <si>
    <t>D</t>
  </si>
  <si>
    <t>E</t>
  </si>
  <si>
    <t>F</t>
  </si>
  <si>
    <t>rad/s</t>
  </si>
  <si>
    <t>rad/s2</t>
  </si>
  <si>
    <t>rad</t>
  </si>
  <si>
    <t>rpm</t>
  </si>
  <si>
    <t>X</t>
  </si>
  <si>
    <t>Y</t>
  </si>
  <si>
    <t>rg2</t>
  </si>
  <si>
    <t>rg3</t>
  </si>
  <si>
    <t>rg4</t>
  </si>
  <si>
    <t>ABIERTA</t>
  </si>
  <si>
    <t>ING. ROMY PEREZ MORENO</t>
  </si>
  <si>
    <r>
      <t>q</t>
    </r>
    <r>
      <rPr>
        <sz val="10"/>
        <rFont val="Arial"/>
      </rPr>
      <t>4</t>
    </r>
  </si>
  <si>
    <r>
      <t>w</t>
    </r>
    <r>
      <rPr>
        <sz val="10"/>
        <rFont val="Arial"/>
      </rPr>
      <t>4</t>
    </r>
  </si>
  <si>
    <r>
      <t>a</t>
    </r>
    <r>
      <rPr>
        <sz val="10"/>
        <rFont val="Arial"/>
      </rPr>
      <t>4</t>
    </r>
  </si>
  <si>
    <r>
      <t>q</t>
    </r>
    <r>
      <rPr>
        <sz val="10"/>
        <rFont val="Arial"/>
      </rPr>
      <t>3</t>
    </r>
  </si>
  <si>
    <r>
      <t>w</t>
    </r>
    <r>
      <rPr>
        <sz val="10"/>
        <rFont val="Arial"/>
      </rPr>
      <t>3</t>
    </r>
  </si>
  <si>
    <r>
      <t>q</t>
    </r>
    <r>
      <rPr>
        <sz val="10"/>
        <rFont val="Arial"/>
      </rPr>
      <t>1</t>
    </r>
  </si>
  <si>
    <r>
      <t>a</t>
    </r>
    <r>
      <rPr>
        <sz val="10"/>
        <rFont val="Arial"/>
      </rPr>
      <t>3</t>
    </r>
  </si>
  <si>
    <r>
      <t>q</t>
    </r>
    <r>
      <rPr>
        <sz val="10"/>
        <rFont val="Arial"/>
      </rPr>
      <t>2</t>
    </r>
  </si>
  <si>
    <r>
      <t>w</t>
    </r>
    <r>
      <rPr>
        <sz val="10"/>
        <rFont val="Arial"/>
      </rPr>
      <t>2</t>
    </r>
  </si>
  <si>
    <r>
      <t>a</t>
    </r>
    <r>
      <rPr>
        <sz val="10"/>
        <rFont val="Arial"/>
      </rPr>
      <t>2</t>
    </r>
  </si>
  <si>
    <t>MANIVELA</t>
  </si>
  <si>
    <t>ACOPLADOR</t>
  </si>
  <si>
    <t>OSCILADOR</t>
  </si>
  <si>
    <t>Conf.</t>
  </si>
  <si>
    <t>Dato del problema</t>
  </si>
  <si>
    <t>Resultados</t>
  </si>
  <si>
    <t>|Ana|</t>
  </si>
  <si>
    <t>|Ata|</t>
  </si>
  <si>
    <t>|Ang2|</t>
  </si>
  <si>
    <t>|Atg2|</t>
  </si>
  <si>
    <t>|Ang3a|</t>
  </si>
  <si>
    <t>|Atg3a|</t>
  </si>
  <si>
    <t>Ag2x</t>
  </si>
  <si>
    <t>Ag2y</t>
  </si>
  <si>
    <t>Aax</t>
  </si>
  <si>
    <t>Aay</t>
  </si>
  <si>
    <t>Ag3ax</t>
  </si>
  <si>
    <t>Ag3ay</t>
  </si>
  <si>
    <t>Ag3x</t>
  </si>
  <si>
    <t>Ag3y</t>
  </si>
  <si>
    <t>|Ang4|</t>
  </si>
  <si>
    <t>|Atg4|</t>
  </si>
  <si>
    <t>Ag4x</t>
  </si>
  <si>
    <t>Ag4y</t>
  </si>
  <si>
    <r>
      <t xml:space="preserve">q </t>
    </r>
    <r>
      <rPr>
        <sz val="10"/>
        <rFont val="Arial"/>
      </rPr>
      <t>Ang2</t>
    </r>
  </si>
  <si>
    <r>
      <t>q</t>
    </r>
    <r>
      <rPr>
        <sz val="10"/>
        <rFont val="Arial"/>
      </rPr>
      <t xml:space="preserve"> Atg2</t>
    </r>
  </si>
  <si>
    <r>
      <t>q</t>
    </r>
    <r>
      <rPr>
        <sz val="10"/>
        <rFont val="Arial"/>
      </rPr>
      <t xml:space="preserve"> Ag2</t>
    </r>
  </si>
  <si>
    <r>
      <t>q</t>
    </r>
    <r>
      <rPr>
        <sz val="10"/>
        <rFont val="Arial"/>
      </rPr>
      <t xml:space="preserve"> Ana</t>
    </r>
  </si>
  <si>
    <r>
      <t>q</t>
    </r>
    <r>
      <rPr>
        <sz val="10"/>
        <rFont val="Arial"/>
      </rPr>
      <t xml:space="preserve"> Ata</t>
    </r>
  </si>
  <si>
    <r>
      <t>q</t>
    </r>
    <r>
      <rPr>
        <sz val="10"/>
        <rFont val="Arial"/>
      </rPr>
      <t xml:space="preserve"> Aa</t>
    </r>
  </si>
  <si>
    <r>
      <t>q</t>
    </r>
    <r>
      <rPr>
        <sz val="10"/>
        <rFont val="Arial"/>
      </rPr>
      <t xml:space="preserve"> Ang3a</t>
    </r>
  </si>
  <si>
    <r>
      <t>q</t>
    </r>
    <r>
      <rPr>
        <sz val="10"/>
        <rFont val="Arial"/>
      </rPr>
      <t xml:space="preserve"> Atg3a</t>
    </r>
  </si>
  <si>
    <r>
      <t>q</t>
    </r>
    <r>
      <rPr>
        <sz val="10"/>
        <rFont val="Arial"/>
      </rPr>
      <t xml:space="preserve"> Ag3a</t>
    </r>
  </si>
  <si>
    <r>
      <t>q</t>
    </r>
    <r>
      <rPr>
        <sz val="10"/>
        <rFont val="Arial"/>
      </rPr>
      <t xml:space="preserve"> Ag3</t>
    </r>
  </si>
  <si>
    <r>
      <t>q</t>
    </r>
    <r>
      <rPr>
        <sz val="10"/>
        <rFont val="Arial"/>
      </rPr>
      <t xml:space="preserve"> Ang4</t>
    </r>
  </si>
  <si>
    <r>
      <t>q</t>
    </r>
    <r>
      <rPr>
        <sz val="10"/>
        <rFont val="Arial"/>
      </rPr>
      <t xml:space="preserve"> Atg4</t>
    </r>
  </si>
  <si>
    <r>
      <t>q</t>
    </r>
    <r>
      <rPr>
        <sz val="10"/>
        <rFont val="Arial"/>
      </rPr>
      <t xml:space="preserve"> Ag4</t>
    </r>
  </si>
  <si>
    <t>*</t>
  </si>
  <si>
    <t>|Ag2|</t>
  </si>
  <si>
    <t>|Ag3|</t>
  </si>
  <si>
    <t>|Aa|</t>
  </si>
  <si>
    <t>|Ag3a|</t>
  </si>
  <si>
    <t>|Ag4|</t>
  </si>
  <si>
    <r>
      <t>g</t>
    </r>
    <r>
      <rPr>
        <sz val="10"/>
        <rFont val="Arial"/>
      </rPr>
      <t>2</t>
    </r>
  </si>
  <si>
    <r>
      <t>g</t>
    </r>
    <r>
      <rPr>
        <sz val="10"/>
        <rFont val="Arial"/>
      </rPr>
      <t>3</t>
    </r>
  </si>
  <si>
    <r>
      <t>g</t>
    </r>
    <r>
      <rPr>
        <sz val="10"/>
        <rFont val="Arial"/>
      </rPr>
      <t>4</t>
    </r>
  </si>
  <si>
    <t>°</t>
  </si>
  <si>
    <t>mm</t>
  </si>
  <si>
    <t>in</t>
  </si>
  <si>
    <t>cm</t>
  </si>
  <si>
    <t>m</t>
  </si>
  <si>
    <t>ft</t>
  </si>
  <si>
    <t>yd</t>
  </si>
  <si>
    <t>Distancia</t>
  </si>
  <si>
    <t>Velocidad</t>
  </si>
  <si>
    <t>Configuración</t>
  </si>
  <si>
    <t>CRUZADA</t>
  </si>
  <si>
    <t>CUATRO BARRAS - ECUACIONES (v 1.4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</si>
</sst>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sz val="10"/>
      <name val="Arial"/>
    </font>
    <font>
      <sz val="10"/>
      <name val="Symbol"/>
      <family val="1"/>
      <charset val="2"/>
    </font>
    <font>
      <sz val="10"/>
      <name val="Arial"/>
    </font>
    <font>
      <sz val="10"/>
      <name val="Arial"/>
      <family val="2"/>
    </font>
    <font>
      <sz val="10"/>
      <name val="Arial"/>
    </font>
    <font>
      <sz val="9"/>
      <name val="Arial"/>
    </font>
    <font>
      <sz val="10"/>
      <color indexed="9"/>
      <name val="Arial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5" fillId="0" borderId="0" xfId="0" applyNumberFormat="1" applyFont="1"/>
    <xf numFmtId="0" fontId="5" fillId="0" borderId="0" xfId="0" applyFont="1"/>
    <xf numFmtId="164" fontId="5" fillId="2" borderId="0" xfId="0" applyNumberFormat="1" applyFont="1" applyFill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0" fontId="3" fillId="0" borderId="2" xfId="0" applyFont="1" applyBorder="1"/>
    <xf numFmtId="164" fontId="3" fillId="2" borderId="3" xfId="0" applyNumberFormat="1" applyFont="1" applyFill="1" applyBorder="1" applyProtection="1">
      <protection locked="0"/>
    </xf>
    <xf numFmtId="164" fontId="5" fillId="2" borderId="4" xfId="0" applyNumberFormat="1" applyFont="1" applyFill="1" applyBorder="1" applyProtection="1">
      <protection locked="0"/>
    </xf>
    <xf numFmtId="0" fontId="8" fillId="0" borderId="0" xfId="0" applyFont="1"/>
    <xf numFmtId="164" fontId="8" fillId="0" borderId="0" xfId="0" applyNumberFormat="1" applyFont="1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164" fontId="3" fillId="0" borderId="6" xfId="0" applyNumberFormat="1" applyFont="1" applyBorder="1"/>
    <xf numFmtId="0" fontId="3" fillId="0" borderId="7" xfId="0" applyFont="1" applyBorder="1"/>
    <xf numFmtId="0" fontId="3" fillId="0" borderId="8" xfId="0" applyFont="1" applyBorder="1"/>
    <xf numFmtId="0" fontId="3" fillId="2" borderId="8" xfId="0" applyFont="1" applyFill="1" applyBorder="1"/>
    <xf numFmtId="0" fontId="3" fillId="0" borderId="1" xfId="0" applyFont="1" applyBorder="1"/>
    <xf numFmtId="164" fontId="3" fillId="0" borderId="1" xfId="0" applyNumberFormat="1" applyFont="1" applyBorder="1"/>
    <xf numFmtId="0" fontId="4" fillId="3" borderId="1" xfId="0" applyFont="1" applyFill="1" applyBorder="1"/>
    <xf numFmtId="164" fontId="5" fillId="3" borderId="1" xfId="0" applyNumberFormat="1" applyFont="1" applyFill="1" applyBorder="1"/>
    <xf numFmtId="164" fontId="5" fillId="0" borderId="1" xfId="0" applyNumberFormat="1" applyFont="1" applyBorder="1"/>
    <xf numFmtId="0" fontId="5" fillId="0" borderId="3" xfId="0" applyFont="1" applyBorder="1"/>
    <xf numFmtId="0" fontId="5" fillId="0" borderId="9" xfId="0" applyFont="1" applyBorder="1"/>
    <xf numFmtId="0" fontId="5" fillId="2" borderId="10" xfId="0" applyFont="1" applyFill="1" applyBorder="1"/>
    <xf numFmtId="0" fontId="4" fillId="3" borderId="0" xfId="0" applyFont="1" applyFill="1"/>
    <xf numFmtId="164" fontId="5" fillId="3" borderId="0" xfId="0" applyNumberFormat="1" applyFont="1" applyFill="1"/>
    <xf numFmtId="0" fontId="5" fillId="0" borderId="11" xfId="0" applyFont="1" applyBorder="1"/>
    <xf numFmtId="0" fontId="5" fillId="0" borderId="9" xfId="0" applyFont="1" applyBorder="1" applyAlignment="1">
      <alignment horizontal="right"/>
    </xf>
    <xf numFmtId="0" fontId="5" fillId="2" borderId="0" xfId="0" applyFont="1" applyFill="1"/>
    <xf numFmtId="0" fontId="4" fillId="2" borderId="0" xfId="0" applyFont="1" applyFill="1"/>
    <xf numFmtId="0" fontId="5" fillId="3" borderId="0" xfId="0" applyFont="1" applyFill="1"/>
    <xf numFmtId="0" fontId="5" fillId="0" borderId="10" xfId="0" applyFont="1" applyBorder="1"/>
    <xf numFmtId="0" fontId="5" fillId="2" borderId="2" xfId="0" applyFont="1" applyFill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9" xfId="0" applyFont="1" applyBorder="1"/>
    <xf numFmtId="164" fontId="3" fillId="0" borderId="0" xfId="0" applyNumberFormat="1" applyFont="1"/>
    <xf numFmtId="0" fontId="3" fillId="0" borderId="11" xfId="0" applyFont="1" applyBorder="1"/>
    <xf numFmtId="0" fontId="6" fillId="2" borderId="1" xfId="0" applyFont="1" applyFill="1" applyBorder="1"/>
    <xf numFmtId="164" fontId="7" fillId="0" borderId="1" xfId="0" applyNumberFormat="1" applyFont="1" applyBorder="1"/>
    <xf numFmtId="0" fontId="7" fillId="0" borderId="1" xfId="0" applyFont="1" applyBorder="1"/>
    <xf numFmtId="0" fontId="7" fillId="0" borderId="3" xfId="0" applyFont="1" applyBorder="1"/>
    <xf numFmtId="0" fontId="7" fillId="0" borderId="0" xfId="0" applyFont="1"/>
    <xf numFmtId="0" fontId="7" fillId="0" borderId="9" xfId="0" applyFont="1" applyBorder="1"/>
    <xf numFmtId="0" fontId="5" fillId="0" borderId="2" xfId="0" applyFont="1" applyBorder="1"/>
    <xf numFmtId="164" fontId="5" fillId="0" borderId="2" xfId="0" applyNumberFormat="1" applyFont="1" applyBorder="1"/>
    <xf numFmtId="0" fontId="5" fillId="0" borderId="4" xfId="0" applyFont="1" applyBorder="1"/>
    <xf numFmtId="0" fontId="5" fillId="0" borderId="1" xfId="0" applyFont="1" applyBorder="1"/>
    <xf numFmtId="0" fontId="4" fillId="0" borderId="0" xfId="0" applyFont="1"/>
    <xf numFmtId="0" fontId="4" fillId="0" borderId="2" xfId="0" applyFont="1" applyBorder="1"/>
    <xf numFmtId="0" fontId="4" fillId="3" borderId="2" xfId="0" applyFont="1" applyFill="1" applyBorder="1"/>
    <xf numFmtId="164" fontId="5" fillId="3" borderId="2" xfId="0" applyNumberFormat="1" applyFont="1" applyFill="1" applyBorder="1"/>
    <xf numFmtId="0" fontId="5" fillId="0" borderId="9" xfId="0" applyFont="1" applyBorder="1" applyAlignment="1">
      <alignment horizontal="center" vertical="center"/>
    </xf>
    <xf numFmtId="0" fontId="5" fillId="0" borderId="12" xfId="0" applyFont="1" applyBorder="1"/>
    <xf numFmtId="0" fontId="3" fillId="2" borderId="0" xfId="0" applyFont="1" applyFill="1"/>
    <xf numFmtId="0" fontId="3" fillId="3" borderId="0" xfId="0" applyFont="1" applyFill="1"/>
    <xf numFmtId="164" fontId="9" fillId="0" borderId="0" xfId="0" applyNumberFormat="1" applyFont="1"/>
    <xf numFmtId="0" fontId="9" fillId="0" borderId="0" xfId="0" applyFont="1"/>
    <xf numFmtId="0" fontId="9" fillId="0" borderId="2" xfId="0" applyFont="1" applyBorder="1"/>
    <xf numFmtId="164" fontId="9" fillId="0" borderId="2" xfId="0" applyNumberFormat="1" applyFont="1" applyBorder="1"/>
    <xf numFmtId="164" fontId="9" fillId="0" borderId="1" xfId="0" applyNumberFormat="1" applyFont="1" applyBorder="1"/>
    <xf numFmtId="0" fontId="9" fillId="0" borderId="3" xfId="0" applyFont="1" applyBorder="1"/>
    <xf numFmtId="0" fontId="9" fillId="0" borderId="11" xfId="0" applyFont="1" applyBorder="1"/>
    <xf numFmtId="0" fontId="6" fillId="0" borderId="0" xfId="0" applyFont="1"/>
    <xf numFmtId="164" fontId="10" fillId="0" borderId="0" xfId="0" applyNumberFormat="1" applyFont="1"/>
    <xf numFmtId="164" fontId="5" fillId="0" borderId="19" xfId="0" applyNumberFormat="1" applyFont="1" applyBorder="1"/>
    <xf numFmtId="164" fontId="0" fillId="2" borderId="3" xfId="0" applyNumberFormat="1" applyFill="1" applyBorder="1" applyProtection="1">
      <protection locked="0"/>
    </xf>
    <xf numFmtId="0" fontId="6" fillId="2" borderId="2" xfId="0" applyFont="1" applyFill="1" applyBorder="1" applyAlignment="1" applyProtection="1">
      <alignment horizontal="right"/>
      <protection locked="0"/>
    </xf>
    <xf numFmtId="164" fontId="3" fillId="0" borderId="0" xfId="0" applyNumberFormat="1" applyFont="1"/>
    <xf numFmtId="0" fontId="3" fillId="0" borderId="0" xfId="0" applyFont="1"/>
    <xf numFmtId="0" fontId="2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2" fillId="0" borderId="16" xfId="0" applyFont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vertical="center" textRotation="90"/>
    </xf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080D9F-A530-435C-8C5B-323F40AE9FAD}" name="Tabla1" displayName="Tabla1" ref="C56:E62" totalsRowShown="0" headerRowDxfId="4" dataDxfId="3">
  <autoFilter ref="C56:E62" xr:uid="{79080D9F-A530-435C-8C5B-323F40AE9FAD}"/>
  <tableColumns count="3">
    <tableColumn id="1" xr3:uid="{02DB1E06-AE3C-4655-A9A7-FD38291EFEE6}" name="Distancia" dataDxfId="2"/>
    <tableColumn id="2" xr3:uid="{2799A1D7-B141-4B01-A25E-5F88CF6DAA6B}" name="Velocidad" dataDxfId="1"/>
    <tableColumn id="3" xr3:uid="{652164B2-CF14-42A1-888A-75C16E542A8A}" name="Configuració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0FEE9-71F8-494A-9BBF-711AD1F2D412}">
  <dimension ref="B1:P62"/>
  <sheetViews>
    <sheetView tabSelected="1" workbookViewId="0">
      <selection activeCell="R22" sqref="R22"/>
    </sheetView>
  </sheetViews>
  <sheetFormatPr baseColWidth="10" defaultRowHeight="12.5" x14ac:dyDescent="0.25"/>
  <cols>
    <col min="1" max="1" width="3.26953125" customWidth="1"/>
    <col min="2" max="2" width="2.7265625" style="2" customWidth="1"/>
    <col min="3" max="3" width="10.81640625" style="2" customWidth="1"/>
    <col min="4" max="4" width="13.7265625" style="2" customWidth="1"/>
    <col min="5" max="5" width="9.453125" style="2" customWidth="1"/>
    <col min="6" max="6" width="2.26953125" style="2" customWidth="1"/>
    <col min="7" max="7" width="3.7265625" style="2" customWidth="1"/>
    <col min="8" max="8" width="14.54296875" style="2" customWidth="1"/>
    <col min="9" max="9" width="1.81640625" style="2" customWidth="1"/>
    <col min="10" max="10" width="8.453125" style="2" customWidth="1"/>
    <col min="11" max="11" width="14.1796875" style="2" customWidth="1"/>
    <col min="12" max="12" width="7.7265625" style="1" customWidth="1"/>
    <col min="13" max="13" width="10" style="1" customWidth="1"/>
    <col min="14" max="14" width="5.26953125" style="2" customWidth="1"/>
    <col min="15" max="15" width="2.54296875" style="2" customWidth="1"/>
    <col min="16" max="16" width="8.453125" style="2" customWidth="1"/>
  </cols>
  <sheetData>
    <row r="1" spans="2:14" s="8" customFormat="1" ht="12" thickBot="1" x14ac:dyDescent="0.3">
      <c r="L1" s="9"/>
      <c r="M1" s="9"/>
    </row>
    <row r="2" spans="2:14" s="10" customFormat="1" ht="13.5" thickBot="1" x14ac:dyDescent="0.35">
      <c r="B2" s="71" t="s">
        <v>90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</row>
    <row r="3" spans="2:14" s="10" customFormat="1" x14ac:dyDescent="0.25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4"/>
    </row>
    <row r="4" spans="2:14" s="2" customFormat="1" x14ac:dyDescent="0.25">
      <c r="B4" s="15"/>
      <c r="C4" s="16" t="s">
        <v>4</v>
      </c>
      <c r="D4" s="6">
        <v>179.05090000000001</v>
      </c>
      <c r="E4" s="67" t="s">
        <v>82</v>
      </c>
      <c r="F4" s="17"/>
      <c r="G4" s="17" t="s">
        <v>6</v>
      </c>
      <c r="H4" s="18">
        <f>2*D9*(D6*COS(H11)-D7*COS(H12))</f>
        <v>40653.227981662581</v>
      </c>
      <c r="I4" s="17"/>
      <c r="J4" s="19" t="s">
        <v>23</v>
      </c>
      <c r="K4" s="20">
        <f>DEGREES(M4)</f>
        <v>96.151266536783396</v>
      </c>
      <c r="L4" s="21" t="str">
        <f>E11</f>
        <v>°</v>
      </c>
      <c r="M4" s="61">
        <f>2*ATAN((-H5-G14*SQRT(H4^2+H5^2-H6^2))/(H6-H4))</f>
        <v>1.6781561810295158</v>
      </c>
      <c r="N4" s="62" t="s">
        <v>14</v>
      </c>
    </row>
    <row r="5" spans="2:14" s="2" customFormat="1" x14ac:dyDescent="0.25">
      <c r="B5" s="23"/>
      <c r="C5" s="24" t="s">
        <v>5</v>
      </c>
      <c r="D5" s="7">
        <v>-42.7851</v>
      </c>
      <c r="E5" s="2" t="str">
        <f>$E$4</f>
        <v>cm</v>
      </c>
      <c r="G5" s="2" t="s">
        <v>7</v>
      </c>
      <c r="H5" s="1">
        <f>2*D9*(D6*SIN(H11)-D7*SIN(H12))</f>
        <v>-25178.983855372633</v>
      </c>
      <c r="J5" s="25" t="s">
        <v>24</v>
      </c>
      <c r="K5" s="26">
        <f>(H13*D7*SIN(H12-M8))/(D9*SIN(M4-M8))</f>
        <v>58.389821791730668</v>
      </c>
      <c r="L5" s="1" t="s">
        <v>12</v>
      </c>
      <c r="M5" s="26">
        <f>K5*30/PI()</f>
        <v>557.58172586452827</v>
      </c>
      <c r="N5" s="27" t="s">
        <v>15</v>
      </c>
    </row>
    <row r="6" spans="2:14" s="2" customFormat="1" x14ac:dyDescent="0.25">
      <c r="B6" s="28" t="s">
        <v>70</v>
      </c>
      <c r="C6" s="2" t="s">
        <v>0</v>
      </c>
      <c r="D6" s="1">
        <f>SQRT(D4^2+D5^2)</f>
        <v>184.09179659294981</v>
      </c>
      <c r="E6" s="2" t="str">
        <f t="shared" ref="E6:E9" si="0">$E$4</f>
        <v>cm</v>
      </c>
      <c r="G6" s="2" t="s">
        <v>8</v>
      </c>
      <c r="H6" s="1">
        <f>D6^2+D7^2-D8^2+D9^2-2*D6*D7*COS(H12-H11)</f>
        <v>29390.1600633497</v>
      </c>
      <c r="J6" s="25" t="s">
        <v>25</v>
      </c>
      <c r="K6" s="26">
        <f>(K9^2*D8+H13^2*D7*COS(H12-M8)+D13*D7*SIN(H12-M8)-K5^2*D9*COS(M4-M8))/(D9*SIN(M4-M8))</f>
        <v>7426.6629151591305</v>
      </c>
      <c r="L6" s="1" t="s">
        <v>13</v>
      </c>
      <c r="M6" s="58">
        <f>IF(K6&lt;0,-1,1)</f>
        <v>1</v>
      </c>
      <c r="N6" s="27"/>
    </row>
    <row r="7" spans="2:14" s="2" customFormat="1" x14ac:dyDescent="0.25">
      <c r="B7" s="23"/>
      <c r="C7" s="29" t="s">
        <v>1</v>
      </c>
      <c r="D7" s="3">
        <v>58.668300000000002</v>
      </c>
      <c r="E7" s="2" t="str">
        <f t="shared" si="0"/>
        <v>cm</v>
      </c>
      <c r="K7" s="1"/>
      <c r="L7" s="1"/>
      <c r="M7" s="1"/>
      <c r="N7" s="27"/>
    </row>
    <row r="8" spans="2:14" s="2" customFormat="1" x14ac:dyDescent="0.25">
      <c r="B8" s="23"/>
      <c r="C8" s="29" t="s">
        <v>2</v>
      </c>
      <c r="D8" s="3">
        <v>146.23419999999999</v>
      </c>
      <c r="E8" s="2" t="str">
        <f t="shared" si="0"/>
        <v>cm</v>
      </c>
      <c r="G8" s="2" t="s">
        <v>9</v>
      </c>
      <c r="H8" s="2">
        <f>2*D8*(D7*COS(H12)-D6*COS(H11))</f>
        <v>-45794.793020855243</v>
      </c>
      <c r="J8" s="25" t="s">
        <v>26</v>
      </c>
      <c r="K8" s="26">
        <f>DEGREES(M8)</f>
        <v>12.67584800594871</v>
      </c>
      <c r="L8" s="1" t="str">
        <f>E11</f>
        <v>°</v>
      </c>
      <c r="M8" s="57">
        <f>2*ATAN((-H9+G14*SQRT(H8^2+H9^2-H10^2))/(H10-H8))</f>
        <v>0.22123528318616276</v>
      </c>
      <c r="N8" s="63" t="s">
        <v>14</v>
      </c>
    </row>
    <row r="9" spans="2:14" s="2" customFormat="1" x14ac:dyDescent="0.25">
      <c r="B9" s="23"/>
      <c r="C9" s="29" t="s">
        <v>3</v>
      </c>
      <c r="D9" s="3">
        <v>129.8159</v>
      </c>
      <c r="E9" s="2" t="str">
        <f t="shared" si="0"/>
        <v>cm</v>
      </c>
      <c r="G9" s="2" t="s">
        <v>10</v>
      </c>
      <c r="H9" s="2">
        <f>2*D8*(D7*SIN(H12)-D6*SIN(H11))</f>
        <v>28363.463650472186</v>
      </c>
      <c r="J9" s="25" t="s">
        <v>27</v>
      </c>
      <c r="K9" s="26">
        <f>(H13*D7*SIN(M4-H12))/(D8*SIN(M8-M4))</f>
        <v>-30.43308167209408</v>
      </c>
      <c r="L9" s="1" t="s">
        <v>12</v>
      </c>
      <c r="M9" s="26">
        <f>K9*30/PI()</f>
        <v>-290.61452289798819</v>
      </c>
      <c r="N9" s="27" t="s">
        <v>15</v>
      </c>
    </row>
    <row r="10" spans="2:14" s="2" customFormat="1" x14ac:dyDescent="0.25">
      <c r="B10" s="28" t="s">
        <v>70</v>
      </c>
      <c r="C10" s="49" t="s">
        <v>28</v>
      </c>
      <c r="D10" s="1">
        <f>DEGREES(H11)</f>
        <v>-13.439104335784277</v>
      </c>
      <c r="E10" s="2" t="s">
        <v>79</v>
      </c>
      <c r="G10" s="2" t="s">
        <v>11</v>
      </c>
      <c r="H10" s="2">
        <f>D6^2+D7^2+D8^2-D9^2-2*D6*D7*COS(H12-H11)</f>
        <v>38454.706777009691</v>
      </c>
      <c r="J10" s="25" t="s">
        <v>29</v>
      </c>
      <c r="K10" s="26">
        <f>(K5^2*D9-H13^2*D7*COS(H12-M4)-D13*D7*SIN(H12-M4)-K9^2*D8*COS(M8-M4))/(D8*SIN(M8-M4))</f>
        <v>5646.521330757063</v>
      </c>
      <c r="L10" s="1" t="s">
        <v>13</v>
      </c>
      <c r="M10" s="58">
        <f>IF(K10&lt;0,-1,1)</f>
        <v>1</v>
      </c>
      <c r="N10" s="27"/>
    </row>
    <row r="11" spans="2:14" s="2" customFormat="1" x14ac:dyDescent="0.25">
      <c r="B11" s="23"/>
      <c r="C11" s="30" t="s">
        <v>30</v>
      </c>
      <c r="D11" s="3">
        <v>67.479699999999994</v>
      </c>
      <c r="E11" s="2" t="s">
        <v>79</v>
      </c>
      <c r="H11" s="57">
        <f>ATAN2(D4,D5)</f>
        <v>-0.23455661917848122</v>
      </c>
      <c r="K11" s="1"/>
      <c r="L11" s="1"/>
      <c r="N11" s="27"/>
    </row>
    <row r="12" spans="2:14" s="2" customFormat="1" x14ac:dyDescent="0.25">
      <c r="B12" s="23"/>
      <c r="C12" s="30" t="s">
        <v>31</v>
      </c>
      <c r="D12" s="3">
        <v>1500</v>
      </c>
      <c r="E12" s="6" t="s">
        <v>15</v>
      </c>
      <c r="H12" s="57">
        <f>RADIANS(D11)</f>
        <v>1.1777429432580175</v>
      </c>
      <c r="L12" s="1"/>
      <c r="N12" s="27"/>
    </row>
    <row r="13" spans="2:14" s="2" customFormat="1" x14ac:dyDescent="0.25">
      <c r="B13" s="23"/>
      <c r="C13" s="30" t="s">
        <v>32</v>
      </c>
      <c r="D13" s="3">
        <v>800</v>
      </c>
      <c r="E13" s="2" t="s">
        <v>13</v>
      </c>
      <c r="G13" s="58">
        <f>IF(D13&lt;0,-1,1)</f>
        <v>1</v>
      </c>
      <c r="H13" s="65">
        <f>IF(E12="rpm",D12*PI()/30,D12)</f>
        <v>157.07963267948966</v>
      </c>
      <c r="L13" s="1"/>
      <c r="N13" s="27"/>
    </row>
    <row r="14" spans="2:14" s="10" customFormat="1" x14ac:dyDescent="0.25">
      <c r="B14" s="32"/>
      <c r="C14" s="33" t="s">
        <v>36</v>
      </c>
      <c r="D14" s="68" t="s">
        <v>21</v>
      </c>
      <c r="E14" s="5"/>
      <c r="F14" s="5"/>
      <c r="G14" s="59">
        <f>IF(D14="ABIERTA",1,-1)</f>
        <v>1</v>
      </c>
      <c r="H14" s="5"/>
      <c r="I14" s="5"/>
      <c r="J14" s="5"/>
      <c r="K14" s="34"/>
      <c r="L14" s="34"/>
      <c r="M14" s="5"/>
      <c r="N14" s="35"/>
    </row>
    <row r="15" spans="2:14" s="10" customFormat="1" x14ac:dyDescent="0.25">
      <c r="B15" s="36"/>
      <c r="K15" s="37"/>
      <c r="L15" s="37"/>
      <c r="N15" s="38"/>
    </row>
    <row r="16" spans="2:14" s="43" customFormat="1" x14ac:dyDescent="0.25">
      <c r="B16" s="15"/>
      <c r="C16" s="39" t="s">
        <v>18</v>
      </c>
      <c r="D16" s="4">
        <v>26.3828</v>
      </c>
      <c r="E16" s="40"/>
      <c r="F16" s="41"/>
      <c r="G16" s="39" t="s">
        <v>19</v>
      </c>
      <c r="H16" s="4">
        <v>80.181399999999996</v>
      </c>
      <c r="I16" s="41"/>
      <c r="J16" s="39" t="s">
        <v>20</v>
      </c>
      <c r="K16" s="4">
        <v>99.366600000000005</v>
      </c>
      <c r="L16" s="40"/>
      <c r="M16" s="41"/>
      <c r="N16" s="42"/>
    </row>
    <row r="17" spans="2:14" s="2" customFormat="1" x14ac:dyDescent="0.25">
      <c r="B17" s="44"/>
      <c r="C17" s="30" t="s">
        <v>76</v>
      </c>
      <c r="D17" s="3">
        <v>149.3212</v>
      </c>
      <c r="G17" s="30" t="s">
        <v>77</v>
      </c>
      <c r="H17" s="3">
        <v>-18.2804</v>
      </c>
      <c r="J17" s="30" t="s">
        <v>78</v>
      </c>
      <c r="K17" s="3">
        <v>-22.506599999999999</v>
      </c>
      <c r="L17" s="1"/>
      <c r="N17" s="27"/>
    </row>
    <row r="18" spans="2:14" s="2" customFormat="1" x14ac:dyDescent="0.25">
      <c r="B18" s="32"/>
      <c r="C18" s="45"/>
      <c r="D18" s="60">
        <f>RADIANS(D17)</f>
        <v>2.606146583028957</v>
      </c>
      <c r="E18" s="45"/>
      <c r="F18" s="45"/>
      <c r="G18" s="45"/>
      <c r="H18" s="60">
        <f>RADIANS(H17)</f>
        <v>-0.3190531685815714</v>
      </c>
      <c r="I18" s="45"/>
      <c r="J18" s="45"/>
      <c r="K18" s="60">
        <f>RADIANS(K17)</f>
        <v>-0.39281427342935576</v>
      </c>
      <c r="L18" s="46"/>
      <c r="M18" s="45"/>
      <c r="N18" s="47"/>
    </row>
    <row r="19" spans="2:14" s="2" customFormat="1" x14ac:dyDescent="0.25">
      <c r="B19" s="23"/>
      <c r="K19" s="1"/>
      <c r="L19" s="1"/>
      <c r="N19" s="27"/>
    </row>
    <row r="20" spans="2:14" s="2" customFormat="1" x14ac:dyDescent="0.25">
      <c r="B20" s="74" t="s">
        <v>33</v>
      </c>
      <c r="C20" s="48" t="s">
        <v>41</v>
      </c>
      <c r="D20" s="21">
        <f>H13^2*D16</f>
        <v>650969.4974826508</v>
      </c>
      <c r="E20" s="21" t="str">
        <f>_xlfn.CONCAT($E$4,"/s2")</f>
        <v>cm/s2</v>
      </c>
      <c r="F20" s="48"/>
      <c r="G20" s="48" t="s">
        <v>16</v>
      </c>
      <c r="H20" s="21">
        <f>D20*COS(D22)</f>
        <v>521245.57284191216</v>
      </c>
      <c r="I20" s="48"/>
      <c r="J20" s="48" t="s">
        <v>45</v>
      </c>
      <c r="K20" s="21">
        <f>H20+H23</f>
        <v>533888.97414759593</v>
      </c>
      <c r="L20" s="21" t="str">
        <f>_xlfn.CONCAT($E$4,"/s2")</f>
        <v>cm/s2</v>
      </c>
      <c r="M20" s="48"/>
      <c r="N20" s="22"/>
    </row>
    <row r="21" spans="2:14" s="2" customFormat="1" x14ac:dyDescent="0.25">
      <c r="B21" s="75"/>
      <c r="C21" s="49" t="s">
        <v>57</v>
      </c>
      <c r="D21" s="1">
        <f>DEGREES(D22)</f>
        <v>396.80090000000001</v>
      </c>
      <c r="E21" s="1" t="str">
        <f>$E$11</f>
        <v>°</v>
      </c>
      <c r="G21" s="2" t="s">
        <v>17</v>
      </c>
      <c r="H21" s="1">
        <f>D20*SIN(D22)</f>
        <v>389954.27866036003</v>
      </c>
      <c r="J21" s="2" t="s">
        <v>46</v>
      </c>
      <c r="K21" s="1">
        <f>H21+H24</f>
        <v>373054.04876958532</v>
      </c>
      <c r="L21" s="1" t="str">
        <f>_xlfn.CONCAT($E$4,"/s2")</f>
        <v>cm/s2</v>
      </c>
      <c r="N21" s="27"/>
    </row>
    <row r="22" spans="2:14" s="2" customFormat="1" x14ac:dyDescent="0.25">
      <c r="B22" s="75"/>
      <c r="D22" s="57">
        <f>H12+D18+PI()</f>
        <v>6.9254821798767674</v>
      </c>
      <c r="E22" s="1"/>
      <c r="H22" s="1"/>
      <c r="K22" s="1"/>
      <c r="L22" s="1"/>
      <c r="N22" s="27"/>
    </row>
    <row r="23" spans="2:14" s="2" customFormat="1" x14ac:dyDescent="0.25">
      <c r="B23" s="75"/>
      <c r="C23" s="2" t="s">
        <v>42</v>
      </c>
      <c r="D23" s="1">
        <f>ABS(D13)*D16</f>
        <v>21106.239999999998</v>
      </c>
      <c r="E23" s="1" t="str">
        <f>_xlfn.CONCAT($E$4,"/s2")</f>
        <v>cm/s2</v>
      </c>
      <c r="G23" s="2" t="s">
        <v>16</v>
      </c>
      <c r="H23" s="1">
        <f>D23*COS(D25)</f>
        <v>12643.401305683743</v>
      </c>
      <c r="J23" s="31" t="s">
        <v>71</v>
      </c>
      <c r="K23" s="26">
        <f>SQRT(K20^2+K21^2)</f>
        <v>651311.56908176641</v>
      </c>
      <c r="L23" s="1" t="str">
        <f>_xlfn.CONCAT($E$4,"/s2")</f>
        <v>cm/s2</v>
      </c>
      <c r="N23" s="27"/>
    </row>
    <row r="24" spans="2:14" s="2" customFormat="1" x14ac:dyDescent="0.25">
      <c r="B24" s="76"/>
      <c r="C24" s="50" t="s">
        <v>58</v>
      </c>
      <c r="D24" s="46">
        <f>DEGREES(D25)</f>
        <v>306.80090000000001</v>
      </c>
      <c r="E24" s="46" t="str">
        <f>$E$11</f>
        <v>°</v>
      </c>
      <c r="F24" s="45"/>
      <c r="G24" s="45" t="s">
        <v>17</v>
      </c>
      <c r="H24" s="46">
        <f>D23*SIN(D25)</f>
        <v>-16900.229890774699</v>
      </c>
      <c r="I24" s="45"/>
      <c r="J24" s="51" t="s">
        <v>59</v>
      </c>
      <c r="K24" s="52">
        <f>DEGREES(K25)</f>
        <v>34.94386216303279</v>
      </c>
      <c r="L24" s="1" t="str">
        <f>$E$11</f>
        <v>°</v>
      </c>
      <c r="M24" s="45"/>
      <c r="N24" s="47"/>
    </row>
    <row r="25" spans="2:14" s="2" customFormat="1" x14ac:dyDescent="0.25">
      <c r="B25" s="53"/>
      <c r="D25" s="60">
        <f>H12+D18+G13*PI()/2</f>
        <v>5.3546858530818708</v>
      </c>
      <c r="E25" s="1"/>
      <c r="H25" s="1"/>
      <c r="K25" s="60">
        <f>ATAN2(K20,K21)</f>
        <v>0.60988544810798972</v>
      </c>
      <c r="L25" s="21"/>
      <c r="N25" s="27"/>
    </row>
    <row r="26" spans="2:14" s="2" customFormat="1" x14ac:dyDescent="0.25">
      <c r="B26" s="74" t="s">
        <v>34</v>
      </c>
      <c r="C26" s="48" t="s">
        <v>39</v>
      </c>
      <c r="D26" s="21">
        <f>H13^2*D7</f>
        <v>1447582.2797110772</v>
      </c>
      <c r="E26" s="21" t="str">
        <f>_xlfn.CONCAT($E$4,"/s2")</f>
        <v>cm/s2</v>
      </c>
      <c r="F26" s="48"/>
      <c r="G26" s="48" t="s">
        <v>16</v>
      </c>
      <c r="H26" s="21">
        <f>D26*COS(D28)</f>
        <v>-554439.56096753234</v>
      </c>
      <c r="I26" s="48"/>
      <c r="J26" s="48" t="s">
        <v>47</v>
      </c>
      <c r="K26" s="21">
        <f>H26+H29</f>
        <v>-597795.1478538618</v>
      </c>
      <c r="L26" s="21" t="str">
        <f>_xlfn.CONCAT($E$4,"/s2")</f>
        <v>cm/s2</v>
      </c>
      <c r="M26" s="48"/>
      <c r="N26" s="22"/>
    </row>
    <row r="27" spans="2:14" s="2" customFormat="1" x14ac:dyDescent="0.25">
      <c r="B27" s="75"/>
      <c r="C27" s="49" t="s">
        <v>60</v>
      </c>
      <c r="D27" s="1">
        <f>DEGREES(D28)</f>
        <v>247.47970000000001</v>
      </c>
      <c r="E27" s="1" t="str">
        <f>$E$11</f>
        <v>°</v>
      </c>
      <c r="G27" s="2" t="s">
        <v>17</v>
      </c>
      <c r="H27" s="1">
        <f>D26*SIN(D28)</f>
        <v>-1337195.2848285285</v>
      </c>
      <c r="J27" s="2" t="s">
        <v>48</v>
      </c>
      <c r="K27" s="1">
        <f>H27+H30</f>
        <v>-1319218.8136044107</v>
      </c>
      <c r="L27" s="1" t="str">
        <f>_xlfn.CONCAT($E$4,"/s2")</f>
        <v>cm/s2</v>
      </c>
      <c r="N27" s="27"/>
    </row>
    <row r="28" spans="2:14" s="2" customFormat="1" x14ac:dyDescent="0.25">
      <c r="B28" s="75"/>
      <c r="D28" s="57">
        <f>H12+PI()</f>
        <v>4.3193355968478109</v>
      </c>
      <c r="E28" s="1"/>
      <c r="H28" s="1"/>
      <c r="K28" s="1"/>
      <c r="L28" s="1"/>
      <c r="N28" s="27"/>
    </row>
    <row r="29" spans="2:14" s="2" customFormat="1" x14ac:dyDescent="0.25">
      <c r="B29" s="75"/>
      <c r="C29" s="2" t="s">
        <v>40</v>
      </c>
      <c r="D29" s="1">
        <f>ABS(D13)*D7</f>
        <v>46934.64</v>
      </c>
      <c r="E29" s="1" t="str">
        <f>_xlfn.CONCAT($E$4,"/s2")</f>
        <v>cm/s2</v>
      </c>
      <c r="G29" s="2" t="s">
        <v>16</v>
      </c>
      <c r="H29" s="1">
        <f>D29*COS(D31)</f>
        <v>-43355.586886329431</v>
      </c>
      <c r="J29" s="2" t="s">
        <v>73</v>
      </c>
      <c r="K29" s="1">
        <f>SQRT(K26^2+K27^2)</f>
        <v>1448342.9555755949</v>
      </c>
      <c r="L29" s="1" t="str">
        <f>_xlfn.CONCAT($E$4,"/s2")</f>
        <v>cm/s2</v>
      </c>
      <c r="N29" s="27"/>
    </row>
    <row r="30" spans="2:14" s="2" customFormat="1" x14ac:dyDescent="0.25">
      <c r="B30" s="75"/>
      <c r="C30" s="49" t="s">
        <v>61</v>
      </c>
      <c r="D30" s="1">
        <f>DEGREES(D31)</f>
        <v>157.47970000000001</v>
      </c>
      <c r="E30" s="1" t="str">
        <f>$E$11</f>
        <v>°</v>
      </c>
      <c r="G30" s="2" t="s">
        <v>17</v>
      </c>
      <c r="H30" s="1">
        <f>D29*SIN(D31)</f>
        <v>17976.471224117904</v>
      </c>
      <c r="J30" s="49" t="s">
        <v>62</v>
      </c>
      <c r="K30" s="1">
        <f>DEGREES(K31)</f>
        <v>-114.37733783696719</v>
      </c>
      <c r="L30" s="1" t="str">
        <f>$E$11</f>
        <v>°</v>
      </c>
      <c r="N30" s="27"/>
    </row>
    <row r="31" spans="2:14" s="2" customFormat="1" x14ac:dyDescent="0.25">
      <c r="B31" s="75"/>
      <c r="D31" s="57">
        <f>H12+G13*PI()/2</f>
        <v>2.7485392700529143</v>
      </c>
      <c r="H31" s="1"/>
      <c r="K31" s="57">
        <f>ATAN2(K26,K27)</f>
        <v>-1.9962611349209667</v>
      </c>
      <c r="L31" s="1"/>
      <c r="N31" s="27"/>
    </row>
    <row r="32" spans="2:14" s="2" customFormat="1" x14ac:dyDescent="0.25">
      <c r="B32" s="75"/>
      <c r="C32" s="2" t="s">
        <v>43</v>
      </c>
      <c r="D32" s="1">
        <f>K9^2*H16</f>
        <v>74261.804489082831</v>
      </c>
      <c r="E32" s="1" t="str">
        <f>_xlfn.CONCAT($E$4,"/s2")</f>
        <v>cm/s2</v>
      </c>
      <c r="G32" s="2" t="s">
        <v>16</v>
      </c>
      <c r="H32" s="1">
        <f>D32*COS(D34)</f>
        <v>-73906.806637163987</v>
      </c>
      <c r="J32" s="2" t="s">
        <v>49</v>
      </c>
      <c r="K32" s="1">
        <f>H32+H35</f>
        <v>-29690.742893045885</v>
      </c>
      <c r="L32" s="1" t="str">
        <f>_xlfn.CONCAT($E$4,"/s2")</f>
        <v>cm/s2</v>
      </c>
      <c r="N32" s="27"/>
    </row>
    <row r="33" spans="2:14" s="2" customFormat="1" x14ac:dyDescent="0.25">
      <c r="B33" s="75"/>
      <c r="C33" s="49" t="s">
        <v>63</v>
      </c>
      <c r="D33" s="1">
        <f>DEGREES(D34)</f>
        <v>174.39544800594871</v>
      </c>
      <c r="E33" s="1" t="str">
        <f>$E$11</f>
        <v>°</v>
      </c>
      <c r="G33" s="2" t="s">
        <v>17</v>
      </c>
      <c r="H33" s="1">
        <f>D32*SIN(D34)</f>
        <v>7252.5539413103461</v>
      </c>
      <c r="J33" s="2" t="s">
        <v>50</v>
      </c>
      <c r="K33" s="1">
        <f>H33+H36</f>
        <v>457834.25244883471</v>
      </c>
      <c r="L33" s="1" t="str">
        <f>_xlfn.CONCAT($E$4,"/s2")</f>
        <v>cm/s2</v>
      </c>
      <c r="N33" s="27"/>
    </row>
    <row r="34" spans="2:14" s="2" customFormat="1" x14ac:dyDescent="0.25">
      <c r="B34" s="75"/>
      <c r="D34" s="57">
        <f>M8+H18+PI()</f>
        <v>3.0437747681943845</v>
      </c>
      <c r="E34" s="1"/>
      <c r="H34" s="1"/>
      <c r="K34" s="1"/>
      <c r="L34" s="1"/>
      <c r="N34" s="27"/>
    </row>
    <row r="35" spans="2:14" s="2" customFormat="1" x14ac:dyDescent="0.25">
      <c r="B35" s="75"/>
      <c r="C35" s="2" t="s">
        <v>44</v>
      </c>
      <c r="D35" s="1">
        <f>ABS(K10)*H16</f>
        <v>452745.98542996438</v>
      </c>
      <c r="E35" s="1" t="str">
        <f>_xlfn.CONCAT($E$4,"/s2")</f>
        <v>cm/s2</v>
      </c>
      <c r="G35" s="2" t="s">
        <v>16</v>
      </c>
      <c r="H35" s="1">
        <f>D35*COS(D37)</f>
        <v>44216.063744118102</v>
      </c>
      <c r="J35" s="2" t="s">
        <v>74</v>
      </c>
      <c r="K35" s="1">
        <f>SQRT(K32^2+K33^2)</f>
        <v>458795.97091618431</v>
      </c>
      <c r="L35" s="1" t="str">
        <f>_xlfn.CONCAT($E$4,"/s2")</f>
        <v>cm/s2</v>
      </c>
      <c r="N35" s="27"/>
    </row>
    <row r="36" spans="2:14" s="2" customFormat="1" x14ac:dyDescent="0.25">
      <c r="B36" s="75"/>
      <c r="C36" s="49" t="s">
        <v>64</v>
      </c>
      <c r="D36" s="1">
        <f>DEGREES(D37)</f>
        <v>84.395448005948708</v>
      </c>
      <c r="E36" s="1" t="str">
        <f>$E$11</f>
        <v>°</v>
      </c>
      <c r="G36" s="2" t="s">
        <v>17</v>
      </c>
      <c r="H36" s="1">
        <f>D35*SIN(D37)</f>
        <v>450581.69850752439</v>
      </c>
      <c r="J36" s="49" t="s">
        <v>65</v>
      </c>
      <c r="K36" s="1">
        <f>DEGREES(K37)</f>
        <v>93.710459561753709</v>
      </c>
      <c r="L36" s="1" t="str">
        <f>$E$11</f>
        <v>°</v>
      </c>
      <c r="N36" s="27"/>
    </row>
    <row r="37" spans="2:14" s="2" customFormat="1" x14ac:dyDescent="0.25">
      <c r="B37" s="75"/>
      <c r="D37" s="57">
        <f>M8+H18+M10*PI()/2</f>
        <v>1.472978441399488</v>
      </c>
      <c r="H37" s="1"/>
      <c r="K37" s="57">
        <f>ATAN2(K32,K33)</f>
        <v>1.6355560629096046</v>
      </c>
      <c r="L37" s="1"/>
      <c r="N37" s="27"/>
    </row>
    <row r="38" spans="2:14" s="2" customFormat="1" x14ac:dyDescent="0.25">
      <c r="B38" s="75"/>
      <c r="H38" s="1"/>
      <c r="J38" s="2" t="s">
        <v>51</v>
      </c>
      <c r="K38" s="1">
        <f>K26+K32</f>
        <v>-627485.89074690768</v>
      </c>
      <c r="L38" s="1" t="str">
        <f>_xlfn.CONCAT($E$4,"/s2")</f>
        <v>cm/s2</v>
      </c>
      <c r="N38" s="27"/>
    </row>
    <row r="39" spans="2:14" s="2" customFormat="1" x14ac:dyDescent="0.25">
      <c r="B39" s="75"/>
      <c r="H39" s="1"/>
      <c r="J39" s="2" t="s">
        <v>52</v>
      </c>
      <c r="K39" s="1">
        <f>K27+K33</f>
        <v>-861384.56115557603</v>
      </c>
      <c r="L39" s="1" t="str">
        <f>_xlfn.CONCAT($E$4,"/s2")</f>
        <v>cm/s2</v>
      </c>
      <c r="N39" s="27"/>
    </row>
    <row r="40" spans="2:14" s="2" customFormat="1" x14ac:dyDescent="0.25">
      <c r="B40" s="75"/>
      <c r="H40" s="1"/>
      <c r="K40" s="1"/>
      <c r="L40" s="1"/>
      <c r="N40" s="27"/>
    </row>
    <row r="41" spans="2:14" s="2" customFormat="1" x14ac:dyDescent="0.25">
      <c r="B41" s="75"/>
      <c r="H41" s="1"/>
      <c r="J41" s="31" t="s">
        <v>72</v>
      </c>
      <c r="K41" s="26">
        <f>SQRT(K38^2+K39^2)</f>
        <v>1065702.5407136949</v>
      </c>
      <c r="L41" s="1" t="str">
        <f>_xlfn.CONCAT($E$4,"/s2")</f>
        <v>cm/s2</v>
      </c>
      <c r="N41" s="27"/>
    </row>
    <row r="42" spans="2:14" s="2" customFormat="1" x14ac:dyDescent="0.25">
      <c r="B42" s="76"/>
      <c r="C42" s="45"/>
      <c r="D42" s="45"/>
      <c r="E42" s="45"/>
      <c r="F42" s="45"/>
      <c r="G42" s="45"/>
      <c r="H42" s="46"/>
      <c r="I42" s="45"/>
      <c r="J42" s="51" t="s">
        <v>66</v>
      </c>
      <c r="K42" s="52">
        <f>DEGREES(K43)</f>
        <v>-126.07191434347932</v>
      </c>
      <c r="L42" s="1" t="str">
        <f>$E$11</f>
        <v>°</v>
      </c>
      <c r="M42" s="45"/>
      <c r="N42" s="47"/>
    </row>
    <row r="43" spans="2:14" s="2" customFormat="1" x14ac:dyDescent="0.25">
      <c r="B43" s="53"/>
      <c r="H43" s="1"/>
      <c r="K43" s="60">
        <f>ATAN2(K38,K39)</f>
        <v>-2.2003699995859796</v>
      </c>
      <c r="L43" s="21"/>
      <c r="N43" s="27"/>
    </row>
    <row r="44" spans="2:14" s="2" customFormat="1" x14ac:dyDescent="0.25">
      <c r="B44" s="74" t="s">
        <v>35</v>
      </c>
      <c r="C44" s="48" t="s">
        <v>53</v>
      </c>
      <c r="D44" s="21">
        <f>K5^2*K16</f>
        <v>338777.63311263628</v>
      </c>
      <c r="E44" s="21" t="str">
        <f>_xlfn.CONCAT($E$4,"/s2")</f>
        <v>cm/s2</v>
      </c>
      <c r="F44" s="48"/>
      <c r="G44" s="48" t="s">
        <v>16</v>
      </c>
      <c r="H44" s="21">
        <f>D44*COS(D46)</f>
        <v>-95397.583131607273</v>
      </c>
      <c r="I44" s="48"/>
      <c r="J44" s="48" t="s">
        <v>55</v>
      </c>
      <c r="K44" s="21">
        <f>H44+H47</f>
        <v>-803497.29142453149</v>
      </c>
      <c r="L44" s="21" t="str">
        <f>_xlfn.CONCAT($E$4,"/s2")</f>
        <v>cm/s2</v>
      </c>
      <c r="M44" s="48"/>
      <c r="N44" s="22"/>
    </row>
    <row r="45" spans="2:14" s="2" customFormat="1" x14ac:dyDescent="0.25">
      <c r="B45" s="75"/>
      <c r="C45" s="49" t="s">
        <v>67</v>
      </c>
      <c r="D45" s="1">
        <f>DEGREES(D46)</f>
        <v>253.6446665367834</v>
      </c>
      <c r="G45" s="2" t="s">
        <v>17</v>
      </c>
      <c r="H45" s="1">
        <f>D44*SIN(D46)</f>
        <v>-325068.58634763228</v>
      </c>
      <c r="J45" s="2" t="s">
        <v>56</v>
      </c>
      <c r="K45" s="1">
        <f>H45+H48</f>
        <v>-117263.20734647213</v>
      </c>
      <c r="L45" s="1" t="str">
        <f>_xlfn.CONCAT($E$4,"/s2")</f>
        <v>cm/s2</v>
      </c>
      <c r="N45" s="27"/>
    </row>
    <row r="46" spans="2:14" s="2" customFormat="1" x14ac:dyDescent="0.25">
      <c r="B46" s="75"/>
      <c r="D46" s="57">
        <f>M4+K18+PI()</f>
        <v>4.4269345611899533</v>
      </c>
      <c r="E46" s="1"/>
      <c r="H46" s="1"/>
      <c r="K46" s="1"/>
      <c r="L46" s="1"/>
      <c r="N46" s="27"/>
    </row>
    <row r="47" spans="2:14" s="2" customFormat="1" x14ac:dyDescent="0.25">
      <c r="B47" s="75"/>
      <c r="C47" s="2" t="s">
        <v>54</v>
      </c>
      <c r="D47" s="1">
        <f>ABS(K6)*K16</f>
        <v>737962.24322545133</v>
      </c>
      <c r="E47" s="1" t="str">
        <f>_xlfn.CONCAT($E$4,"/s2")</f>
        <v>cm/s2</v>
      </c>
      <c r="G47" s="2" t="s">
        <v>16</v>
      </c>
      <c r="H47" s="1">
        <f>D47*COS(D49)</f>
        <v>-708099.70829292422</v>
      </c>
      <c r="J47" s="31" t="s">
        <v>75</v>
      </c>
      <c r="K47" s="26">
        <f>SQRT(K44^2+K45^2)</f>
        <v>812008.96369667014</v>
      </c>
      <c r="L47" s="1" t="str">
        <f>_xlfn.CONCAT($E$4,"/s2")</f>
        <v>cm/s2</v>
      </c>
      <c r="N47" s="27"/>
    </row>
    <row r="48" spans="2:14" s="2" customFormat="1" x14ac:dyDescent="0.25">
      <c r="B48" s="76"/>
      <c r="C48" s="50" t="s">
        <v>68</v>
      </c>
      <c r="D48" s="46">
        <f>DEGREES(D49)</f>
        <v>163.6446665367834</v>
      </c>
      <c r="E48" s="45"/>
      <c r="F48" s="45"/>
      <c r="G48" s="45" t="s">
        <v>17</v>
      </c>
      <c r="H48" s="46">
        <f>D47*SIN(D49)</f>
        <v>207805.37900116015</v>
      </c>
      <c r="I48" s="45"/>
      <c r="J48" s="51" t="s">
        <v>69</v>
      </c>
      <c r="K48" s="52">
        <f>DEGREES(K49)</f>
        <v>-171.696814102384</v>
      </c>
      <c r="L48" s="1" t="str">
        <f>$E$11</f>
        <v>°</v>
      </c>
      <c r="M48" s="45"/>
      <c r="N48" s="47"/>
    </row>
    <row r="49" spans="2:14" s="2" customFormat="1" ht="13" thickBot="1" x14ac:dyDescent="0.3">
      <c r="B49" s="23"/>
      <c r="D49" s="60">
        <f>M4+K18+M6*PI()/2</f>
        <v>2.8561382343950568</v>
      </c>
      <c r="K49" s="60">
        <f>ATAN2(K44,K45)</f>
        <v>-2.996674721271233</v>
      </c>
      <c r="L49" s="66"/>
      <c r="M49" s="1"/>
      <c r="N49" s="54"/>
    </row>
    <row r="50" spans="2:14" s="10" customFormat="1" ht="13.5" thickBot="1" x14ac:dyDescent="0.35">
      <c r="B50" s="71" t="s">
        <v>22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3"/>
    </row>
    <row r="51" spans="2:14" s="10" customFormat="1" x14ac:dyDescent="0.25">
      <c r="L51" s="37"/>
      <c r="M51" s="37"/>
    </row>
    <row r="52" spans="2:14" s="10" customFormat="1" x14ac:dyDescent="0.25">
      <c r="C52" s="55"/>
      <c r="D52" s="69" t="s">
        <v>37</v>
      </c>
      <c r="E52" s="70"/>
      <c r="L52" s="37"/>
      <c r="M52" s="37"/>
    </row>
    <row r="53" spans="2:14" s="10" customFormat="1" x14ac:dyDescent="0.25">
      <c r="C53" s="56"/>
      <c r="D53" s="69" t="s">
        <v>38</v>
      </c>
      <c r="E53" s="70"/>
      <c r="L53" s="37"/>
      <c r="M53" s="37"/>
    </row>
    <row r="56" spans="2:14" x14ac:dyDescent="0.25">
      <c r="C56" s="64" t="s">
        <v>86</v>
      </c>
      <c r="D56" s="64" t="s">
        <v>87</v>
      </c>
      <c r="E56" s="64" t="s">
        <v>88</v>
      </c>
    </row>
    <row r="57" spans="2:14" x14ac:dyDescent="0.25">
      <c r="C57" t="s">
        <v>80</v>
      </c>
      <c r="D57" s="64" t="s">
        <v>15</v>
      </c>
      <c r="E57" s="64" t="s">
        <v>21</v>
      </c>
    </row>
    <row r="58" spans="2:14" x14ac:dyDescent="0.25">
      <c r="C58" t="s">
        <v>82</v>
      </c>
      <c r="D58" s="64" t="s">
        <v>12</v>
      </c>
      <c r="E58" s="64" t="s">
        <v>89</v>
      </c>
    </row>
    <row r="59" spans="2:14" x14ac:dyDescent="0.25">
      <c r="C59" t="s">
        <v>83</v>
      </c>
      <c r="D59" s="64"/>
      <c r="E59" s="64"/>
    </row>
    <row r="60" spans="2:14" x14ac:dyDescent="0.25">
      <c r="C60" t="s">
        <v>84</v>
      </c>
      <c r="D60" s="64"/>
      <c r="E60" s="64"/>
    </row>
    <row r="61" spans="2:14" x14ac:dyDescent="0.25">
      <c r="C61" t="s">
        <v>81</v>
      </c>
      <c r="D61" s="64"/>
      <c r="E61" s="64"/>
    </row>
    <row r="62" spans="2:14" x14ac:dyDescent="0.25">
      <c r="C62" t="s">
        <v>85</v>
      </c>
      <c r="D62" s="64"/>
      <c r="E62" s="64"/>
    </row>
  </sheetData>
  <sheetProtection algorithmName="SHA-512" hashValue="AY+DsEqprL7AM7ncqth53cWc8m5Az9FW/JTRMZtUfydraSdA3n16SGf74XIoTsrbNY9h6C6TDPtUIz8m53L8aA==" saltValue="doEql6rAMCa0GktkA8Ff+w==" spinCount="100000" sheet="1" objects="1" scenarios="1"/>
  <mergeCells count="7">
    <mergeCell ref="D52:E52"/>
    <mergeCell ref="D53:E53"/>
    <mergeCell ref="B2:N2"/>
    <mergeCell ref="B50:N50"/>
    <mergeCell ref="B20:B24"/>
    <mergeCell ref="B26:B42"/>
    <mergeCell ref="B44:B48"/>
  </mergeCells>
  <phoneticPr fontId="1" type="noConversion"/>
  <dataValidations count="3">
    <dataValidation type="list" allowBlank="1" showInputMessage="1" showErrorMessage="1" sqref="E4" xr:uid="{9CDB2A8D-F06D-4314-BC78-7FCD4BAE4F42}">
      <formula1>$C$57:$C$62</formula1>
    </dataValidation>
    <dataValidation type="list" allowBlank="1" showInputMessage="1" showErrorMessage="1" sqref="E12" xr:uid="{FBC254EC-D2A2-4DCF-A194-C63F5ED5DB1D}">
      <formula1>$D$57:$D$58</formula1>
    </dataValidation>
    <dataValidation type="list" allowBlank="1" showInputMessage="1" showErrorMessage="1" sqref="D14" xr:uid="{436F0300-52EE-4CDA-838C-A1501E0D7ED9}">
      <formula1>$E$57:$E$58</formula1>
    </dataValidation>
  </dataValidations>
  <printOptions horizontalCentered="1" verticalCentered="1"/>
  <pageMargins left="0.39370078740157483" right="0.39370078740157483" top="0.39370078740157483" bottom="0.39370078740157483" header="0" footer="0"/>
  <pageSetup scale="95" orientation="portrait" r:id="rId1"/>
  <headerFooter alignWithMargins="0"/>
  <ignoredErrors>
    <ignoredError sqref="D6 D10" unlockedFormula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8923-79B5-4662-9544-C77F11F63838}">
  <dimension ref="A1"/>
  <sheetViews>
    <sheetView workbookViewId="0"/>
  </sheetViews>
  <sheetFormatPr baseColWidth="10" defaultRowHeight="12.5" x14ac:dyDescent="0.25"/>
  <sheetData/>
  <phoneticPr fontId="1" type="noConversion"/>
  <pageMargins left="0.75" right="0.75" top="1" bottom="1" header="0" footer="0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85FF1-82C2-4A46-802C-8B04B547737F}">
  <dimension ref="A1"/>
  <sheetViews>
    <sheetView workbookViewId="0"/>
  </sheetViews>
  <sheetFormatPr baseColWidth="10" defaultRowHeight="12.5" x14ac:dyDescent="0.25"/>
  <sheetData/>
  <phoneticPr fontId="1" type="noConversion"/>
  <pageMargins left="0.75" right="0.75" top="1" bottom="1" header="0" footer="0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2024-08-08T23:47:12Z</dcterms:created>
  <dcterms:modified xsi:type="dcterms:W3CDTF">2024-12-16T18:47:20Z</dcterms:modified>
</cp:coreProperties>
</file>