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i unidad\UAM\Academia\24O\MEC\v_1_4\"/>
    </mc:Choice>
  </mc:AlternateContent>
  <xr:revisionPtr revIDLastSave="0" documentId="13_ncr:1_{DA271D89-8853-4435-8751-FCEEABEBA649}" xr6:coauthVersionLast="47" xr6:coauthVersionMax="47" xr10:uidLastSave="{00000000-0000-0000-0000-000000000000}"/>
  <bookViews>
    <workbookView xWindow="41180" yWindow="2480" windowWidth="19490" windowHeight="16860" xr2:uid="{863F6FE8-748E-47FF-A540-16846E8CF081}"/>
  </bookViews>
  <sheets>
    <sheet name="Hoja1" sheetId="1" r:id="rId1"/>
    <sheet name="Hoja2" sheetId="2" r:id="rId2"/>
    <sheet name="Hoja3" sheetId="3" r:id="rId3"/>
  </sheets>
  <definedNames>
    <definedName name="_xlnm.Print_Area" localSheetId="0">Hoja1!$B$2:$N$39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J37" i="1"/>
  <c r="J36" i="1"/>
  <c r="J34" i="1"/>
  <c r="J33" i="1"/>
  <c r="J25" i="1"/>
  <c r="J24" i="1"/>
  <c r="J22" i="1"/>
  <c r="J21" i="1"/>
  <c r="N36" i="1"/>
  <c r="N34" i="1"/>
  <c r="N33" i="1"/>
  <c r="N30" i="1"/>
  <c r="N28" i="1"/>
  <c r="N27" i="1"/>
  <c r="N24" i="1"/>
  <c r="N22" i="1"/>
  <c r="N21" i="1"/>
  <c r="F36" i="1"/>
  <c r="F33" i="1"/>
  <c r="F24" i="1"/>
  <c r="F21" i="1"/>
  <c r="J13" i="1"/>
  <c r="J15" i="1"/>
  <c r="J14" i="1"/>
  <c r="J11" i="1"/>
  <c r="J10" i="1"/>
  <c r="J9" i="1"/>
  <c r="J8" i="1"/>
  <c r="J17" i="1"/>
  <c r="F17" i="1"/>
  <c r="F7" i="1"/>
  <c r="F6" i="1"/>
  <c r="F5" i="1"/>
  <c r="M11" i="1"/>
  <c r="M9" i="1"/>
  <c r="L4" i="1"/>
  <c r="E6" i="1"/>
  <c r="I8" i="1"/>
  <c r="M8" i="1"/>
  <c r="E8" i="1"/>
  <c r="I19" i="1"/>
  <c r="E19" i="1"/>
  <c r="E24" i="1"/>
  <c r="I25" i="1"/>
  <c r="E35" i="1"/>
  <c r="E34" i="1"/>
  <c r="I4" i="1"/>
  <c r="E26" i="1"/>
  <c r="E25" i="1"/>
  <c r="I24" i="1"/>
  <c r="E23" i="1"/>
  <c r="E22" i="1"/>
  <c r="I5" i="1" l="1"/>
  <c r="I6" i="1" s="1"/>
  <c r="I9" i="1"/>
  <c r="E21" i="1"/>
  <c r="E36" i="1" l="1"/>
  <c r="L6" i="1"/>
  <c r="E38" i="1" s="1"/>
  <c r="E37" i="1" s="1"/>
  <c r="E33" i="1"/>
  <c r="L5" i="1"/>
  <c r="I11" i="1"/>
  <c r="I21" i="1"/>
  <c r="M21" i="1" s="1"/>
  <c r="I22" i="1"/>
  <c r="M22" i="1" s="1"/>
  <c r="M26" i="1" s="1"/>
  <c r="M25" i="1" s="1"/>
  <c r="I13" i="1"/>
  <c r="M13" i="1"/>
  <c r="I10" i="1"/>
  <c r="M24" i="1"/>
  <c r="M15" i="1" l="1"/>
  <c r="I15" i="1"/>
  <c r="I33" i="1"/>
  <c r="I34" i="1"/>
  <c r="M30" i="1"/>
  <c r="M14" i="1"/>
  <c r="M31" i="1" s="1"/>
  <c r="M32" i="1" s="1"/>
  <c r="I14" i="1"/>
  <c r="I36" i="1"/>
  <c r="I37" i="1"/>
  <c r="M34" i="1" l="1"/>
  <c r="M28" i="1"/>
  <c r="M27" i="1"/>
  <c r="M33" i="1"/>
  <c r="M36" i="1" l="1"/>
  <c r="M38" i="1"/>
  <c r="M37" i="1" s="1"/>
</calcChain>
</file>

<file path=xl/sharedStrings.xml><?xml version="1.0" encoding="utf-8"?>
<sst xmlns="http://schemas.openxmlformats.org/spreadsheetml/2006/main" count="95" uniqueCount="69">
  <si>
    <t>r1</t>
  </si>
  <si>
    <t>r2</t>
  </si>
  <si>
    <t>r4</t>
  </si>
  <si>
    <t>r1x</t>
  </si>
  <si>
    <t>r1y</t>
  </si>
  <si>
    <t>rpm</t>
  </si>
  <si>
    <t>rad/s2</t>
  </si>
  <si>
    <t>rad</t>
  </si>
  <si>
    <r>
      <t>a</t>
    </r>
    <r>
      <rPr>
        <sz val="10"/>
        <rFont val="Arial"/>
        <family val="2"/>
      </rPr>
      <t>2</t>
    </r>
  </si>
  <si>
    <r>
      <t>a</t>
    </r>
    <r>
      <rPr>
        <sz val="10"/>
        <rFont val="Arial"/>
        <family val="2"/>
      </rPr>
      <t>4</t>
    </r>
  </si>
  <si>
    <r>
      <t>w</t>
    </r>
    <r>
      <rPr>
        <sz val="10"/>
        <rFont val="Arial"/>
        <family val="2"/>
      </rPr>
      <t>4</t>
    </r>
  </si>
  <si>
    <r>
      <t>w</t>
    </r>
    <r>
      <rPr>
        <sz val="10"/>
        <rFont val="Arial"/>
        <family val="2"/>
      </rPr>
      <t>2</t>
    </r>
  </si>
  <si>
    <r>
      <t>q</t>
    </r>
    <r>
      <rPr>
        <sz val="10"/>
        <rFont val="Arial"/>
        <family val="2"/>
      </rPr>
      <t>4</t>
    </r>
  </si>
  <si>
    <r>
      <t>q</t>
    </r>
    <r>
      <rPr>
        <sz val="10"/>
        <rFont val="Arial"/>
        <family val="2"/>
      </rPr>
      <t>1</t>
    </r>
  </si>
  <si>
    <r>
      <t>q</t>
    </r>
    <r>
      <rPr>
        <sz val="10"/>
        <rFont val="Arial"/>
        <family val="2"/>
      </rPr>
      <t>2</t>
    </r>
  </si>
  <si>
    <t>ING. ROMY PÉREZ MORENO</t>
  </si>
  <si>
    <t>°</t>
  </si>
  <si>
    <t>rad/s</t>
  </si>
  <si>
    <r>
      <t>q</t>
    </r>
    <r>
      <rPr>
        <sz val="10"/>
        <rFont val="Arial"/>
        <family val="2"/>
      </rPr>
      <t xml:space="preserve"> Vcorredera</t>
    </r>
  </si>
  <si>
    <r>
      <t>q</t>
    </r>
    <r>
      <rPr>
        <sz val="10"/>
        <rFont val="Arial"/>
        <family val="2"/>
      </rPr>
      <t xml:space="preserve"> Acorredera</t>
    </r>
  </si>
  <si>
    <t>*</t>
  </si>
  <si>
    <t>rg2</t>
  </si>
  <si>
    <t>rg4</t>
  </si>
  <si>
    <t>|Ang2|</t>
  </si>
  <si>
    <t>X</t>
  </si>
  <si>
    <t>Ag2x</t>
  </si>
  <si>
    <r>
      <t xml:space="preserve">q </t>
    </r>
    <r>
      <rPr>
        <sz val="10"/>
        <rFont val="Arial"/>
        <family val="2"/>
      </rPr>
      <t>Ang2</t>
    </r>
  </si>
  <si>
    <t>Y</t>
  </si>
  <si>
    <t>Ag2y</t>
  </si>
  <si>
    <t>|Atg2|</t>
  </si>
  <si>
    <r>
      <t>q</t>
    </r>
    <r>
      <rPr>
        <sz val="10"/>
        <rFont val="Arial"/>
        <family val="2"/>
      </rPr>
      <t xml:space="preserve"> Atg2</t>
    </r>
  </si>
  <si>
    <r>
      <t>q</t>
    </r>
    <r>
      <rPr>
        <sz val="10"/>
        <rFont val="Arial"/>
        <family val="2"/>
      </rPr>
      <t xml:space="preserve"> Ag2</t>
    </r>
  </si>
  <si>
    <t>|Ang4|</t>
  </si>
  <si>
    <r>
      <t xml:space="preserve">q </t>
    </r>
    <r>
      <rPr>
        <sz val="10"/>
        <rFont val="Arial"/>
        <family val="2"/>
      </rPr>
      <t>Ang4</t>
    </r>
  </si>
  <si>
    <t>|Atg4|</t>
  </si>
  <si>
    <r>
      <t>q</t>
    </r>
    <r>
      <rPr>
        <sz val="10"/>
        <rFont val="Arial"/>
        <family val="2"/>
      </rPr>
      <t xml:space="preserve"> Atg4</t>
    </r>
  </si>
  <si>
    <t>Ag4x</t>
  </si>
  <si>
    <t>Ag4y</t>
  </si>
  <si>
    <r>
      <t>q</t>
    </r>
    <r>
      <rPr>
        <sz val="10"/>
        <rFont val="Arial"/>
        <family val="2"/>
      </rPr>
      <t xml:space="preserve"> Ag4</t>
    </r>
  </si>
  <si>
    <t>Ag3x</t>
  </si>
  <si>
    <t>Ag3y</t>
  </si>
  <si>
    <r>
      <t>q</t>
    </r>
    <r>
      <rPr>
        <sz val="10"/>
        <rFont val="Arial"/>
        <family val="2"/>
      </rPr>
      <t xml:space="preserve"> Ag3</t>
    </r>
  </si>
  <si>
    <t>MANIVELA</t>
  </si>
  <si>
    <t>CAMISA</t>
  </si>
  <si>
    <t>GUÍA</t>
  </si>
  <si>
    <t>CORREDERA</t>
  </si>
  <si>
    <t>Dato del problema</t>
  </si>
  <si>
    <t>Resultados</t>
  </si>
  <si>
    <t>|Vcorredera|</t>
  </si>
  <si>
    <t>|Acorredera|</t>
  </si>
  <si>
    <t>|Ag2|</t>
  </si>
  <si>
    <t>|Ag3|</t>
  </si>
  <si>
    <t>|Ag4|</t>
  </si>
  <si>
    <r>
      <t>g</t>
    </r>
    <r>
      <rPr>
        <sz val="10"/>
        <rFont val="Arial"/>
        <family val="2"/>
      </rPr>
      <t>2</t>
    </r>
  </si>
  <si>
    <t>g4</t>
  </si>
  <si>
    <t>Distancia</t>
  </si>
  <si>
    <t>Velocidad</t>
  </si>
  <si>
    <t>mm</t>
  </si>
  <si>
    <t>cm</t>
  </si>
  <si>
    <t>m</t>
  </si>
  <si>
    <t>ft</t>
  </si>
  <si>
    <t>in</t>
  </si>
  <si>
    <t>yd</t>
  </si>
  <si>
    <t>vcorredera</t>
  </si>
  <si>
    <t>acorredera</t>
  </si>
  <si>
    <t>acoriolis</t>
  </si>
  <si>
    <t>|ACoriolis|</t>
  </si>
  <si>
    <r>
      <t>q</t>
    </r>
    <r>
      <rPr>
        <sz val="10"/>
        <rFont val="Arial"/>
        <family val="2"/>
      </rPr>
      <t xml:space="preserve"> ACoriolis</t>
    </r>
  </si>
  <si>
    <t>INVERSIÓN TIPO I DE MANIVELA CORREDERA - ECUACIONES (v 1.4 - 2024)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</si>
</sst>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Symbol"/>
      <family val="1"/>
      <charset val="2"/>
    </font>
    <font>
      <b/>
      <sz val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3" tint="0.749992370372631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5" fillId="2" borderId="1" xfId="0" applyFont="1" applyFill="1" applyBorder="1"/>
    <xf numFmtId="0" fontId="1" fillId="2" borderId="1" xfId="0" applyFont="1" applyFill="1" applyBorder="1" applyProtection="1">
      <protection locked="0"/>
    </xf>
    <xf numFmtId="164" fontId="1" fillId="0" borderId="1" xfId="0" applyNumberFormat="1" applyFont="1" applyBorder="1"/>
    <xf numFmtId="0" fontId="1" fillId="0" borderId="1" xfId="0" applyFont="1" applyBorder="1"/>
    <xf numFmtId="0" fontId="1" fillId="0" borderId="2" xfId="0" applyFont="1" applyBorder="1"/>
    <xf numFmtId="0" fontId="1" fillId="3" borderId="0" xfId="0" applyFont="1" applyFill="1"/>
    <xf numFmtId="0" fontId="3" fillId="0" borderId="2" xfId="0" applyFont="1" applyBorder="1"/>
    <xf numFmtId="164" fontId="1" fillId="0" borderId="2" xfId="0" applyNumberFormat="1" applyFont="1" applyBorder="1"/>
    <xf numFmtId="0" fontId="3" fillId="3" borderId="2" xfId="0" applyFont="1" applyFill="1" applyBorder="1"/>
    <xf numFmtId="164" fontId="1" fillId="3" borderId="2" xfId="0" applyNumberFormat="1" applyFont="1" applyFill="1" applyBorder="1"/>
    <xf numFmtId="0" fontId="1" fillId="3" borderId="2" xfId="0" applyFont="1" applyFill="1" applyBorder="1"/>
    <xf numFmtId="0" fontId="1" fillId="2" borderId="0" xfId="0" applyFont="1" applyFill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Border="1"/>
    <xf numFmtId="0" fontId="3" fillId="3" borderId="1" xfId="0" applyFont="1" applyFill="1" applyBorder="1"/>
    <xf numFmtId="164" fontId="0" fillId="3" borderId="1" xfId="0" applyNumberFormat="1" applyFill="1" applyBorder="1"/>
    <xf numFmtId="0" fontId="0" fillId="0" borderId="3" xfId="0" applyBorder="1"/>
    <xf numFmtId="0" fontId="0" fillId="0" borderId="9" xfId="0" applyBorder="1"/>
    <xf numFmtId="0" fontId="0" fillId="0" borderId="4" xfId="0" applyBorder="1"/>
    <xf numFmtId="0" fontId="0" fillId="0" borderId="10" xfId="0" applyBorder="1"/>
    <xf numFmtId="0" fontId="0" fillId="0" borderId="2" xfId="0" applyBorder="1"/>
    <xf numFmtId="0" fontId="0" fillId="3" borderId="2" xfId="0" applyFill="1" applyBorder="1"/>
    <xf numFmtId="164" fontId="0" fillId="0" borderId="2" xfId="0" applyNumberFormat="1" applyBorder="1"/>
    <xf numFmtId="164" fontId="0" fillId="3" borderId="2" xfId="0" applyNumberFormat="1" applyFill="1" applyBorder="1"/>
    <xf numFmtId="0" fontId="0" fillId="0" borderId="11" xfId="0" applyBorder="1"/>
    <xf numFmtId="0" fontId="0" fillId="2" borderId="1" xfId="0" applyFill="1" applyBorder="1"/>
    <xf numFmtId="0" fontId="0" fillId="2" borderId="1" xfId="0" applyFill="1" applyBorder="1" applyProtection="1">
      <protection locked="0"/>
    </xf>
    <xf numFmtId="164" fontId="6" fillId="0" borderId="2" xfId="0" applyNumberFormat="1" applyFont="1" applyBorder="1"/>
    <xf numFmtId="164" fontId="6" fillId="0" borderId="1" xfId="0" applyNumberFormat="1" applyFont="1" applyBorder="1"/>
    <xf numFmtId="0" fontId="6" fillId="0" borderId="1" xfId="0" applyFont="1" applyBorder="1"/>
    <xf numFmtId="0" fontId="5" fillId="0" borderId="0" xfId="0" applyFont="1"/>
    <xf numFmtId="164" fontId="1" fillId="0" borderId="0" xfId="0" applyNumberFormat="1" applyFont="1"/>
    <xf numFmtId="0" fontId="1" fillId="0" borderId="0" xfId="0" applyFont="1"/>
    <xf numFmtId="164" fontId="5" fillId="0" borderId="4" xfId="0" applyNumberFormat="1" applyFont="1" applyBorder="1"/>
    <xf numFmtId="0" fontId="0" fillId="0" borderId="18" xfId="0" applyBorder="1"/>
    <xf numFmtId="0" fontId="0" fillId="0" borderId="19" xfId="0" applyBorder="1"/>
    <xf numFmtId="0" fontId="5" fillId="0" borderId="19" xfId="0" applyFont="1" applyBorder="1"/>
    <xf numFmtId="164" fontId="1" fillId="3" borderId="0" xfId="0" applyNumberFormat="1" applyFont="1" applyFill="1"/>
    <xf numFmtId="164" fontId="5" fillId="0" borderId="0" xfId="0" applyNumberFormat="1" applyFont="1"/>
    <xf numFmtId="0" fontId="0" fillId="2" borderId="0" xfId="0" applyFill="1"/>
    <xf numFmtId="0" fontId="0" fillId="2" borderId="0" xfId="0" applyFill="1" applyProtection="1">
      <protection locked="0"/>
    </xf>
    <xf numFmtId="0" fontId="3" fillId="3" borderId="0" xfId="0" applyFont="1" applyFill="1"/>
    <xf numFmtId="164" fontId="0" fillId="3" borderId="0" xfId="0" applyNumberFormat="1" applyFill="1"/>
    <xf numFmtId="0" fontId="0" fillId="0" borderId="0" xfId="0" applyAlignment="1">
      <alignment horizontal="right"/>
    </xf>
    <xf numFmtId="164" fontId="0" fillId="0" borderId="0" xfId="0" applyNumberFormat="1"/>
    <xf numFmtId="0" fontId="6" fillId="0" borderId="0" xfId="0" applyFont="1"/>
    <xf numFmtId="0" fontId="3" fillId="0" borderId="0" xfId="0" applyFont="1"/>
    <xf numFmtId="0" fontId="0" fillId="3" borderId="0" xfId="0" applyFill="1"/>
    <xf numFmtId="164" fontId="6" fillId="0" borderId="0" xfId="0" applyNumberFormat="1" applyFont="1"/>
    <xf numFmtId="0" fontId="3" fillId="2" borderId="0" xfId="0" applyFont="1" applyFill="1"/>
    <xf numFmtId="164" fontId="0" fillId="2" borderId="0" xfId="0" applyNumberFormat="1" applyFill="1" applyProtection="1">
      <protection locked="0"/>
    </xf>
    <xf numFmtId="0" fontId="1" fillId="2" borderId="0" xfId="0" applyFont="1" applyFill="1" applyProtection="1">
      <protection locked="0"/>
    </xf>
    <xf numFmtId="164" fontId="0" fillId="0" borderId="4" xfId="0" applyNumberFormat="1" applyBorder="1"/>
    <xf numFmtId="0" fontId="1" fillId="0" borderId="11" xfId="0" applyFont="1" applyBorder="1"/>
    <xf numFmtId="0" fontId="0" fillId="0" borderId="0" xfId="0" applyAlignment="1">
      <alignment horizontal="center" vertical="center"/>
    </xf>
    <xf numFmtId="164" fontId="7" fillId="0" borderId="0" xfId="0" applyNumberFormat="1" applyFont="1"/>
    <xf numFmtId="164" fontId="7" fillId="0" borderId="2" xfId="0" applyNumberFormat="1" applyFont="1" applyBorder="1"/>
    <xf numFmtId="0" fontId="5" fillId="3" borderId="0" xfId="0" applyFont="1" applyFill="1"/>
    <xf numFmtId="0" fontId="5" fillId="3" borderId="2" xfId="0" applyFont="1" applyFill="1" applyBorder="1"/>
    <xf numFmtId="164" fontId="1" fillId="0" borderId="0" xfId="0" applyNumberFormat="1" applyFont="1"/>
    <xf numFmtId="0" fontId="1" fillId="0" borderId="0" xfId="0" applyFont="1"/>
    <xf numFmtId="0" fontId="4" fillId="0" borderId="15" xfId="0" applyFont="1" applyBorder="1" applyAlignment="1">
      <alignment horizontal="center" vertical="center" textRotation="90"/>
    </xf>
    <xf numFmtId="0" fontId="4" fillId="0" borderId="16" xfId="0" applyFont="1" applyBorder="1" applyAlignment="1">
      <alignment horizontal="center" vertical="center" textRotation="90"/>
    </xf>
    <xf numFmtId="0" fontId="4" fillId="0" borderId="17" xfId="0" applyFont="1" applyBorder="1" applyAlignment="1">
      <alignment horizontal="center" vertical="center" textRotation="90"/>
    </xf>
    <xf numFmtId="49" fontId="4" fillId="0" borderId="15" xfId="0" applyNumberFormat="1" applyFont="1" applyBorder="1" applyAlignment="1">
      <alignment horizontal="center" vertical="center" textRotation="90"/>
    </xf>
    <xf numFmtId="49" fontId="4" fillId="0" borderId="16" xfId="0" applyNumberFormat="1" applyFont="1" applyBorder="1" applyAlignment="1">
      <alignment horizontal="center" vertical="center" textRotation="90"/>
    </xf>
    <xf numFmtId="49" fontId="4" fillId="0" borderId="17" xfId="0" applyNumberFormat="1" applyFont="1" applyBorder="1" applyAlignment="1">
      <alignment horizontal="center" vertical="center" textRotation="90"/>
    </xf>
    <xf numFmtId="0" fontId="4" fillId="0" borderId="12" xfId="0" applyFont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4" fillId="0" borderId="8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4" fillId="0" borderId="9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textRotation="90"/>
    </xf>
    <xf numFmtId="0" fontId="4" fillId="0" borderId="11" xfId="0" applyFont="1" applyBorder="1" applyAlignment="1">
      <alignment horizontal="center" vertical="center" textRotation="90"/>
    </xf>
    <xf numFmtId="0" fontId="0" fillId="4" borderId="1" xfId="0" applyFill="1" applyBorder="1" applyProtection="1">
      <protection locked="0"/>
    </xf>
    <xf numFmtId="0" fontId="0" fillId="4" borderId="0" xfId="0" applyFill="1" applyProtection="1">
      <protection locked="0"/>
    </xf>
  </cellXfs>
  <cellStyles count="1"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4CF74D0-0CEE-4477-9740-921A25B49F30}" name="Tabla1" displayName="Tabla1" ref="D45:E51" totalsRowShown="0" headerRowDxfId="3" dataDxfId="2">
  <autoFilter ref="D45:E51" xr:uid="{13F0BFD2-C914-4B63-BB2F-E62767D2BF8A}"/>
  <tableColumns count="2">
    <tableColumn id="1" xr3:uid="{00000000-0010-0000-0100-000001000000}" name="Distancia" dataDxfId="1"/>
    <tableColumn id="2" xr3:uid="{00000000-0010-0000-0100-000002000000}" name="Velocida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047B0-BAE2-4BFE-AFD2-588E7EDF983C}">
  <dimension ref="B1:N51"/>
  <sheetViews>
    <sheetView tabSelected="1" workbookViewId="0">
      <selection activeCell="F4" sqref="F4"/>
    </sheetView>
  </sheetViews>
  <sheetFormatPr baseColWidth="10" defaultRowHeight="12.5" x14ac:dyDescent="0.25"/>
  <cols>
    <col min="1" max="2" width="3" customWidth="1"/>
    <col min="3" max="3" width="2.7265625" customWidth="1"/>
    <col min="4" max="4" width="6.453125" customWidth="1"/>
    <col min="5" max="5" width="14.54296875" customWidth="1"/>
    <col min="6" max="6" width="7.81640625" customWidth="1"/>
    <col min="7" max="7" width="2.54296875" customWidth="1"/>
    <col min="8" max="8" width="10.81640625" customWidth="1"/>
    <col min="9" max="9" width="15" customWidth="1"/>
    <col min="10" max="10" width="7.81640625" customWidth="1"/>
    <col min="11" max="11" width="2.26953125" customWidth="1"/>
    <col min="12" max="12" width="12.7265625" customWidth="1"/>
    <col min="13" max="13" width="14.81640625" customWidth="1"/>
    <col min="14" max="14" width="7.81640625" customWidth="1"/>
  </cols>
  <sheetData>
    <row r="1" spans="2:14" ht="13" thickBot="1" x14ac:dyDescent="0.3"/>
    <row r="2" spans="2:14" ht="13.5" thickBot="1" x14ac:dyDescent="0.35">
      <c r="B2" s="71" t="s">
        <v>68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3"/>
    </row>
    <row r="3" spans="2:14" x14ac:dyDescent="0.2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5"/>
    </row>
    <row r="4" spans="2:14" x14ac:dyDescent="0.25">
      <c r="B4" s="16"/>
      <c r="C4" s="17"/>
      <c r="D4" s="29" t="s">
        <v>3</v>
      </c>
      <c r="E4" s="30">
        <v>190.5395</v>
      </c>
      <c r="F4" s="80" t="s">
        <v>57</v>
      </c>
      <c r="G4" s="17"/>
      <c r="H4" s="18" t="s">
        <v>12</v>
      </c>
      <c r="I4" s="19">
        <f>DEGREES(L4)</f>
        <v>152.549854116679</v>
      </c>
      <c r="J4" s="17" t="s">
        <v>16</v>
      </c>
      <c r="K4" s="17"/>
      <c r="L4" s="32">
        <f>ATAN2(E7*COS(M9)-E6*COS(M8),E7*SIN(M9)-E6*SIN(M8))</f>
        <v>2.6624972277730743</v>
      </c>
      <c r="M4" s="33" t="s">
        <v>7</v>
      </c>
      <c r="N4" s="20"/>
    </row>
    <row r="5" spans="2:14" x14ac:dyDescent="0.25">
      <c r="B5" s="21"/>
      <c r="D5" s="43" t="s">
        <v>4</v>
      </c>
      <c r="E5" s="44">
        <v>-39.470399999999998</v>
      </c>
      <c r="F5" t="str">
        <f>$F$4</f>
        <v>mm</v>
      </c>
      <c r="H5" s="45" t="s">
        <v>10</v>
      </c>
      <c r="I5" s="46">
        <f>(M10*E7*COS(M9-L4))/I8</f>
        <v>18.212341336616685</v>
      </c>
      <c r="J5" t="s">
        <v>17</v>
      </c>
      <c r="L5" s="46">
        <f>I5*30/PI()</f>
        <v>173.91504893996409</v>
      </c>
      <c r="M5" t="s">
        <v>5</v>
      </c>
      <c r="N5" s="22"/>
    </row>
    <row r="6" spans="2:14" x14ac:dyDescent="0.25">
      <c r="B6" s="21"/>
      <c r="C6" s="47" t="s">
        <v>20</v>
      </c>
      <c r="D6" t="s">
        <v>0</v>
      </c>
      <c r="E6" s="48">
        <f>SQRT(E4^2+E5^2)</f>
        <v>194.58472071673563</v>
      </c>
      <c r="F6" t="str">
        <f>$F$4</f>
        <v>mm</v>
      </c>
      <c r="H6" s="45" t="s">
        <v>9</v>
      </c>
      <c r="I6" s="46">
        <f>(E11*E7*COS(M9-L4)-M10^2*E7*SIN(M9-L4)-2*I5*I9)/I8</f>
        <v>4817.1540074137529</v>
      </c>
      <c r="J6" s="48" t="s">
        <v>6</v>
      </c>
      <c r="K6" s="48"/>
      <c r="L6" s="49">
        <f>IF(I6&lt;0,-1,1)</f>
        <v>1</v>
      </c>
      <c r="N6" s="22"/>
    </row>
    <row r="7" spans="2:14" x14ac:dyDescent="0.25">
      <c r="B7" s="21"/>
      <c r="D7" s="43" t="s">
        <v>1</v>
      </c>
      <c r="E7" s="44">
        <v>58.240400000000001</v>
      </c>
      <c r="F7" t="str">
        <f>$F$4</f>
        <v>mm</v>
      </c>
      <c r="I7" s="48"/>
      <c r="J7" s="48"/>
      <c r="K7" s="48"/>
      <c r="N7" s="22"/>
    </row>
    <row r="8" spans="2:14" x14ac:dyDescent="0.25">
      <c r="B8" s="21"/>
      <c r="C8" s="47" t="s">
        <v>20</v>
      </c>
      <c r="D8" s="50" t="s">
        <v>13</v>
      </c>
      <c r="E8" s="48">
        <f>M8*180/PI()</f>
        <v>-11.70333500600117</v>
      </c>
      <c r="F8" t="s">
        <v>16</v>
      </c>
      <c r="H8" s="51" t="s">
        <v>2</v>
      </c>
      <c r="I8" s="46">
        <f>SQRT(E6^2+E7^2-2*E6*E7*COS(M9-M8))</f>
        <v>211.84392015389847</v>
      </c>
      <c r="J8" t="str">
        <f>$F$4</f>
        <v>mm</v>
      </c>
      <c r="K8" s="48"/>
      <c r="M8" s="52">
        <f>ATAN2(E4,E5)</f>
        <v>-0.20426172931863076</v>
      </c>
      <c r="N8" s="22"/>
    </row>
    <row r="9" spans="2:14" x14ac:dyDescent="0.25">
      <c r="B9" s="21"/>
      <c r="D9" s="53" t="s">
        <v>14</v>
      </c>
      <c r="E9" s="44">
        <v>87.493899999999996</v>
      </c>
      <c r="F9" t="s">
        <v>16</v>
      </c>
      <c r="H9" s="61" t="s">
        <v>63</v>
      </c>
      <c r="I9" s="46">
        <f>-M10*E7*SIN(M9-L4)</f>
        <v>8295.0203960554918</v>
      </c>
      <c r="J9" s="48" t="str">
        <f>_xlfn.CONCAT($F$4,"/s")</f>
        <v>mm/s</v>
      </c>
      <c r="K9" s="48"/>
      <c r="M9" s="52">
        <f>E9*PI()/180</f>
        <v>1.5270566304106665</v>
      </c>
      <c r="N9" s="22"/>
    </row>
    <row r="10" spans="2:14" x14ac:dyDescent="0.25">
      <c r="B10" s="21"/>
      <c r="D10" s="53" t="s">
        <v>11</v>
      </c>
      <c r="E10" s="54">
        <v>1500</v>
      </c>
      <c r="F10" s="81" t="s">
        <v>5</v>
      </c>
      <c r="H10" s="61" t="s">
        <v>64</v>
      </c>
      <c r="I10" s="46">
        <f>-E11*E7*SIN(M9-L4)-M10^2*E7*COS(M9-L4)+I5^2*I8</f>
        <v>-493527.9509338396</v>
      </c>
      <c r="J10" s="48" t="str">
        <f>_xlfn.CONCAT($F$4,"/s2")</f>
        <v>mm/s2</v>
      </c>
      <c r="K10" s="48"/>
      <c r="M10" s="59">
        <f>IF(F10="rpm",E10*PI()/30,E10)</f>
        <v>157.07963267948966</v>
      </c>
      <c r="N10" s="22"/>
    </row>
    <row r="11" spans="2:14" x14ac:dyDescent="0.25">
      <c r="B11" s="21"/>
      <c r="D11" s="53" t="s">
        <v>8</v>
      </c>
      <c r="E11" s="54">
        <v>800</v>
      </c>
      <c r="F11" t="s">
        <v>6</v>
      </c>
      <c r="H11" s="61" t="s">
        <v>65</v>
      </c>
      <c r="I11" s="51">
        <f>2*I5*I9</f>
        <v>302143.48569431988</v>
      </c>
      <c r="J11" s="48" t="str">
        <f>_xlfn.CONCAT($F$4,"/s2")</f>
        <v>mm/s2</v>
      </c>
      <c r="M11" s="49">
        <f>IF(E11&lt;0,-1,1)</f>
        <v>1</v>
      </c>
      <c r="N11" s="22"/>
    </row>
    <row r="12" spans="2:14" x14ac:dyDescent="0.25">
      <c r="B12" s="21"/>
      <c r="M12" s="48"/>
      <c r="N12" s="22"/>
    </row>
    <row r="13" spans="2:14" x14ac:dyDescent="0.25">
      <c r="B13" s="21"/>
      <c r="H13" s="51" t="s">
        <v>48</v>
      </c>
      <c r="I13" s="46">
        <f>ABS(I9)</f>
        <v>8295.0203960554918</v>
      </c>
      <c r="J13" s="48" t="str">
        <f>_xlfn.CONCAT($F$4,"/s")</f>
        <v>mm/s</v>
      </c>
      <c r="L13" s="45" t="s">
        <v>18</v>
      </c>
      <c r="M13" s="46">
        <f>IF(SIGN(I9)=1,0,-180)+I4</f>
        <v>152.549854116679</v>
      </c>
      <c r="N13" s="22" t="s">
        <v>16</v>
      </c>
    </row>
    <row r="14" spans="2:14" x14ac:dyDescent="0.25">
      <c r="B14" s="21"/>
      <c r="H14" s="51" t="s">
        <v>49</v>
      </c>
      <c r="I14" s="46">
        <f>ABS(I10)</f>
        <v>493527.9509338396</v>
      </c>
      <c r="J14" s="48" t="str">
        <f>_xlfn.CONCAT($F$4,"/s2")</f>
        <v>mm/s2</v>
      </c>
      <c r="L14" s="45" t="s">
        <v>19</v>
      </c>
      <c r="M14" s="46">
        <f>IF(SIGN(I10)=1,0,-180)+I4</f>
        <v>-27.450145883320999</v>
      </c>
      <c r="N14" s="22" t="s">
        <v>16</v>
      </c>
    </row>
    <row r="15" spans="2:14" x14ac:dyDescent="0.25">
      <c r="B15" s="23"/>
      <c r="C15" s="24"/>
      <c r="D15" s="24"/>
      <c r="E15" s="24"/>
      <c r="F15" s="24"/>
      <c r="G15" s="24"/>
      <c r="H15" s="62" t="s">
        <v>66</v>
      </c>
      <c r="I15" s="25">
        <f>ABS(I11)</f>
        <v>302143.48569431988</v>
      </c>
      <c r="J15" s="26" t="str">
        <f>_xlfn.CONCAT($F$4,"/s2")</f>
        <v>mm/s2</v>
      </c>
      <c r="K15" s="26"/>
      <c r="L15" s="9" t="s">
        <v>67</v>
      </c>
      <c r="M15" s="27">
        <f>SIGN(I11)*90+I4</f>
        <v>242.549854116679</v>
      </c>
      <c r="N15" s="28" t="s">
        <v>16</v>
      </c>
    </row>
    <row r="16" spans="2:14" x14ac:dyDescent="0.25">
      <c r="B16" s="21"/>
      <c r="F16" s="38"/>
      <c r="J16" s="38"/>
      <c r="M16" s="48"/>
      <c r="N16" s="22"/>
    </row>
    <row r="17" spans="2:14" x14ac:dyDescent="0.25">
      <c r="B17" s="16"/>
      <c r="C17" s="17"/>
      <c r="D17" s="1" t="s">
        <v>21</v>
      </c>
      <c r="E17" s="2">
        <v>60.228099999999998</v>
      </c>
      <c r="F17" t="str">
        <f>$F$4</f>
        <v>mm</v>
      </c>
      <c r="G17" s="4"/>
      <c r="H17" s="1" t="s">
        <v>22</v>
      </c>
      <c r="I17" s="2">
        <v>198.56559999999999</v>
      </c>
      <c r="J17" t="str">
        <f>$F$4</f>
        <v>mm</v>
      </c>
      <c r="K17" s="17"/>
      <c r="L17" s="17"/>
      <c r="M17" s="17"/>
      <c r="N17" s="20"/>
    </row>
    <row r="18" spans="2:14" x14ac:dyDescent="0.25">
      <c r="B18" s="21"/>
      <c r="D18" s="53" t="s">
        <v>53</v>
      </c>
      <c r="E18" s="55">
        <v>148.4683</v>
      </c>
      <c r="F18" s="36" t="s">
        <v>16</v>
      </c>
      <c r="G18" s="36"/>
      <c r="H18" s="53" t="s">
        <v>54</v>
      </c>
      <c r="I18" s="55">
        <v>19.0428</v>
      </c>
      <c r="J18" s="48" t="s">
        <v>16</v>
      </c>
      <c r="N18" s="22"/>
    </row>
    <row r="19" spans="2:14" x14ac:dyDescent="0.25">
      <c r="B19" s="23"/>
      <c r="C19" s="24"/>
      <c r="D19" s="5"/>
      <c r="E19" s="31">
        <f>RADIANS(E18)</f>
        <v>2.5912606698386971</v>
      </c>
      <c r="F19" s="5"/>
      <c r="G19" s="5"/>
      <c r="H19" s="5"/>
      <c r="I19" s="31">
        <f>RADIANS(I18)</f>
        <v>0.33235955879877616</v>
      </c>
      <c r="J19" s="24"/>
      <c r="K19" s="24"/>
      <c r="L19" s="24"/>
      <c r="M19" s="24"/>
      <c r="N19" s="28"/>
    </row>
    <row r="20" spans="2:14" x14ac:dyDescent="0.25">
      <c r="B20" s="21"/>
      <c r="F20" s="38"/>
      <c r="J20" s="24"/>
      <c r="N20" s="39"/>
    </row>
    <row r="21" spans="2:14" ht="12.75" customHeight="1" x14ac:dyDescent="0.25">
      <c r="B21" s="74" t="s">
        <v>42</v>
      </c>
      <c r="C21" s="75"/>
      <c r="D21" s="4" t="s">
        <v>23</v>
      </c>
      <c r="E21" s="3">
        <f>M10^2*E17</f>
        <v>1486068.802073125</v>
      </c>
      <c r="F21" s="48" t="str">
        <f>_xlfn.CONCAT($F$4,"/s2")</f>
        <v>mm/s2</v>
      </c>
      <c r="G21" s="4"/>
      <c r="H21" s="4" t="s">
        <v>24</v>
      </c>
      <c r="I21" s="3">
        <f>E21*COS(E23)</f>
        <v>831811.74466885417</v>
      </c>
      <c r="J21" s="48" t="str">
        <f>_xlfn.CONCAT($F$4,"/s2")</f>
        <v>mm/s2</v>
      </c>
      <c r="K21" s="4"/>
      <c r="L21" s="4" t="s">
        <v>25</v>
      </c>
      <c r="M21" s="3">
        <f>I21+I24</f>
        <v>871739.04681199754</v>
      </c>
      <c r="N21" s="56" t="str">
        <f>_xlfn.CONCAT($F$4,"/s2")</f>
        <v>mm/s2</v>
      </c>
    </row>
    <row r="22" spans="2:14" x14ac:dyDescent="0.25">
      <c r="B22" s="76"/>
      <c r="C22" s="77"/>
      <c r="D22" s="50" t="s">
        <v>26</v>
      </c>
      <c r="E22" s="35">
        <f>DEGREES(E23)</f>
        <v>55.962199999999974</v>
      </c>
      <c r="F22" s="36" t="s">
        <v>16</v>
      </c>
      <c r="G22" s="36"/>
      <c r="H22" s="36" t="s">
        <v>27</v>
      </c>
      <c r="I22" s="35">
        <f>E21*SIN(E23)</f>
        <v>1231458.365486227</v>
      </c>
      <c r="J22" s="48" t="str">
        <f>_xlfn.CONCAT($F$4,"/s2")</f>
        <v>mm/s2</v>
      </c>
      <c r="K22" s="36"/>
      <c r="L22" s="36" t="s">
        <v>28</v>
      </c>
      <c r="M22" s="35">
        <f>I22+I25</f>
        <v>1204488.7173142442</v>
      </c>
      <c r="N22" s="56" t="str">
        <f>_xlfn.CONCAT($F$4,"/s2")</f>
        <v>mm/s2</v>
      </c>
    </row>
    <row r="23" spans="2:14" x14ac:dyDescent="0.25">
      <c r="B23" s="76"/>
      <c r="C23" s="77"/>
      <c r="D23" s="36"/>
      <c r="E23" s="59">
        <f>M9+E19-PI()</f>
        <v>0.97672464665957026</v>
      </c>
      <c r="F23" s="42"/>
      <c r="G23" s="36"/>
      <c r="H23" s="36"/>
      <c r="I23" s="35"/>
      <c r="J23" s="36"/>
      <c r="K23" s="36"/>
      <c r="L23" s="36"/>
      <c r="M23" s="35"/>
      <c r="N23" s="37"/>
    </row>
    <row r="24" spans="2:14" x14ac:dyDescent="0.25">
      <c r="B24" s="76"/>
      <c r="C24" s="77"/>
      <c r="D24" s="36" t="s">
        <v>29</v>
      </c>
      <c r="E24" s="35">
        <f>ABS(E11)*E17</f>
        <v>48182.479999999996</v>
      </c>
      <c r="F24" s="48" t="str">
        <f>_xlfn.CONCAT($F$4,"/s2")</f>
        <v>mm/s2</v>
      </c>
      <c r="G24" s="36"/>
      <c r="H24" s="36" t="s">
        <v>24</v>
      </c>
      <c r="I24" s="35">
        <f>E24*COS(E26)</f>
        <v>39927.302143143381</v>
      </c>
      <c r="J24" s="48" t="str">
        <f>_xlfn.CONCAT($F$4,"/s2")</f>
        <v>mm/s2</v>
      </c>
      <c r="K24" s="36"/>
      <c r="L24" s="6" t="s">
        <v>50</v>
      </c>
      <c r="M24" s="41">
        <f>SQRT(M21^2+M22^2)</f>
        <v>1486849.7018441386</v>
      </c>
      <c r="N24" s="56" t="str">
        <f>_xlfn.CONCAT($F$4,"/s2")</f>
        <v>mm/s2</v>
      </c>
    </row>
    <row r="25" spans="2:14" x14ac:dyDescent="0.25">
      <c r="B25" s="78"/>
      <c r="C25" s="79"/>
      <c r="D25" s="7" t="s">
        <v>30</v>
      </c>
      <c r="E25" s="8">
        <f>DEGREES(E26)</f>
        <v>325.9622</v>
      </c>
      <c r="F25" s="5" t="s">
        <v>16</v>
      </c>
      <c r="G25" s="5"/>
      <c r="H25" s="5" t="s">
        <v>27</v>
      </c>
      <c r="I25" s="8">
        <f>E24*SIN(E26)</f>
        <v>-26969.648171982841</v>
      </c>
      <c r="J25" s="26" t="str">
        <f>_xlfn.CONCAT($F$4,"/s2")</f>
        <v>mm/s2</v>
      </c>
      <c r="K25" s="5"/>
      <c r="L25" s="9" t="s">
        <v>31</v>
      </c>
      <c r="M25" s="10">
        <f>DEGREES(M26)</f>
        <v>54.105162163032794</v>
      </c>
      <c r="N25" s="57" t="s">
        <v>16</v>
      </c>
    </row>
    <row r="26" spans="2:14" x14ac:dyDescent="0.25">
      <c r="B26" s="21"/>
      <c r="C26" s="58"/>
      <c r="E26" s="60">
        <f>M9+E19+M11*PI()/2</f>
        <v>5.6891136270442599</v>
      </c>
      <c r="J26" s="24"/>
      <c r="M26" s="60">
        <f>ATAN2(M21,M22)</f>
        <v>0.94431322207037927</v>
      </c>
      <c r="N26" s="40"/>
    </row>
    <row r="27" spans="2:14" x14ac:dyDescent="0.25">
      <c r="B27" s="68" t="s">
        <v>45</v>
      </c>
      <c r="C27" s="65" t="s">
        <v>43</v>
      </c>
      <c r="D27" s="4"/>
      <c r="E27" s="3"/>
      <c r="F27" s="3"/>
      <c r="G27" s="4"/>
      <c r="H27" s="4"/>
      <c r="I27" s="3"/>
      <c r="J27" s="36"/>
      <c r="K27" s="4"/>
      <c r="L27" s="4" t="s">
        <v>39</v>
      </c>
      <c r="M27" s="35">
        <f>M30*COS(M32)</f>
        <v>437962.76089954237</v>
      </c>
      <c r="N27" s="56" t="str">
        <f>_xlfn.CONCAT($F$4,"/s2")</f>
        <v>mm/s2</v>
      </c>
    </row>
    <row r="28" spans="2:14" x14ac:dyDescent="0.25">
      <c r="B28" s="69"/>
      <c r="C28" s="66"/>
      <c r="D28" s="36"/>
      <c r="E28" s="35"/>
      <c r="F28" s="35"/>
      <c r="G28" s="36"/>
      <c r="H28" s="36"/>
      <c r="I28" s="35"/>
      <c r="J28" s="36"/>
      <c r="K28" s="36"/>
      <c r="L28" s="36" t="s">
        <v>40</v>
      </c>
      <c r="M28" s="35">
        <f>M30*SIN(M32)</f>
        <v>-227504.8536146089</v>
      </c>
      <c r="N28" s="56" t="str">
        <f>_xlfn.CONCAT($F$4,"/s2")</f>
        <v>mm/s2</v>
      </c>
    </row>
    <row r="29" spans="2:14" x14ac:dyDescent="0.25">
      <c r="B29" s="69"/>
      <c r="C29" s="66"/>
      <c r="D29" s="36"/>
      <c r="E29" s="35"/>
      <c r="F29" s="35"/>
      <c r="G29" s="36"/>
      <c r="H29" s="36"/>
      <c r="I29" s="35"/>
      <c r="J29" s="36"/>
      <c r="K29" s="36"/>
      <c r="L29" s="36"/>
      <c r="M29" s="35"/>
      <c r="N29" s="37"/>
    </row>
    <row r="30" spans="2:14" x14ac:dyDescent="0.25">
      <c r="B30" s="69"/>
      <c r="C30" s="66"/>
      <c r="D30" s="36"/>
      <c r="E30" s="35"/>
      <c r="F30" s="35"/>
      <c r="G30" s="36"/>
      <c r="H30" s="36"/>
      <c r="I30" s="35"/>
      <c r="J30" s="36"/>
      <c r="K30" s="36"/>
      <c r="L30" s="6" t="s">
        <v>51</v>
      </c>
      <c r="M30" s="41">
        <f>ABS(I10)</f>
        <v>493527.9509338396</v>
      </c>
      <c r="N30" s="56" t="str">
        <f>_xlfn.CONCAT($F$4,"/s2")</f>
        <v>mm/s2</v>
      </c>
    </row>
    <row r="31" spans="2:14" x14ac:dyDescent="0.25">
      <c r="B31" s="69"/>
      <c r="C31" s="67"/>
      <c r="D31" s="5"/>
      <c r="E31" s="8"/>
      <c r="F31" s="8"/>
      <c r="G31" s="5"/>
      <c r="H31" s="5"/>
      <c r="I31" s="8"/>
      <c r="J31" s="5"/>
      <c r="K31" s="5"/>
      <c r="L31" s="9" t="s">
        <v>41</v>
      </c>
      <c r="M31" s="11">
        <f>M14</f>
        <v>-27.450145883320999</v>
      </c>
      <c r="N31" s="57" t="s">
        <v>16</v>
      </c>
    </row>
    <row r="32" spans="2:14" x14ac:dyDescent="0.25">
      <c r="B32" s="69"/>
      <c r="C32" s="58"/>
      <c r="F32" s="38"/>
      <c r="J32" s="24"/>
      <c r="M32" s="60">
        <f>RADIANS(M31)</f>
        <v>-0.47909542581671866</v>
      </c>
      <c r="N32" s="40"/>
    </row>
    <row r="33" spans="2:14" x14ac:dyDescent="0.25">
      <c r="B33" s="69"/>
      <c r="C33" s="65" t="s">
        <v>44</v>
      </c>
      <c r="D33" s="4" t="s">
        <v>32</v>
      </c>
      <c r="E33" s="3">
        <f>I5^2*I17</f>
        <v>65862.100149973878</v>
      </c>
      <c r="F33" s="48" t="str">
        <f>_xlfn.CONCAT($F$4,"/s2")</f>
        <v>mm/s2</v>
      </c>
      <c r="G33" s="4"/>
      <c r="H33" s="4" t="s">
        <v>24</v>
      </c>
      <c r="I33" s="3">
        <f>E33*COS(E35)</f>
        <v>65154.319383775619</v>
      </c>
      <c r="J33" s="48" t="str">
        <f>_xlfn.CONCAT($F$4,"/s2")</f>
        <v>mm/s2</v>
      </c>
      <c r="K33" s="4"/>
      <c r="L33" s="4" t="s">
        <v>36</v>
      </c>
      <c r="M33" s="35">
        <f>I33+I36</f>
        <v>-74698.49493242483</v>
      </c>
      <c r="N33" s="56" t="str">
        <f>_xlfn.CONCAT($F$4,"/s2")</f>
        <v>mm/s2</v>
      </c>
    </row>
    <row r="34" spans="2:14" x14ac:dyDescent="0.25">
      <c r="B34" s="69"/>
      <c r="C34" s="66"/>
      <c r="D34" s="50" t="s">
        <v>33</v>
      </c>
      <c r="E34" s="35">
        <f>DEGREES(E35)</f>
        <v>-8.4073458833210211</v>
      </c>
      <c r="F34" s="36" t="s">
        <v>16</v>
      </c>
      <c r="G34" s="36"/>
      <c r="H34" s="36" t="s">
        <v>27</v>
      </c>
      <c r="I34" s="35">
        <f>E33*SIN(E35)</f>
        <v>-9629.6885620538014</v>
      </c>
      <c r="J34" s="48" t="str">
        <f>_xlfn.CONCAT($F$4,"/s2")</f>
        <v>mm/s2</v>
      </c>
      <c r="K34" s="36"/>
      <c r="L34" s="36" t="s">
        <v>37</v>
      </c>
      <c r="M34" s="35">
        <f>I34+I37</f>
        <v>-955871.60199047311</v>
      </c>
      <c r="N34" s="56" t="str">
        <f>_xlfn.CONCAT($F$4,"/s2")</f>
        <v>mm/s2</v>
      </c>
    </row>
    <row r="35" spans="2:14" x14ac:dyDescent="0.25">
      <c r="B35" s="69"/>
      <c r="C35" s="66"/>
      <c r="D35" s="36"/>
      <c r="E35" s="42">
        <f>L4+I19-PI()</f>
        <v>-0.14673586701794283</v>
      </c>
      <c r="F35" s="42"/>
      <c r="G35" s="36"/>
      <c r="H35" s="36"/>
      <c r="I35" s="35"/>
      <c r="J35" s="36"/>
      <c r="K35" s="36"/>
      <c r="L35" s="36"/>
      <c r="M35" s="35"/>
      <c r="N35" s="37"/>
    </row>
    <row r="36" spans="2:14" x14ac:dyDescent="0.25">
      <c r="B36" s="69"/>
      <c r="C36" s="66"/>
      <c r="D36" s="36" t="s">
        <v>34</v>
      </c>
      <c r="E36" s="35">
        <f>ABS(I6)*I17</f>
        <v>956521.07577451621</v>
      </c>
      <c r="F36" s="48" t="str">
        <f>_xlfn.CONCAT($F$4,"/s2")</f>
        <v>mm/s2</v>
      </c>
      <c r="G36" s="36"/>
      <c r="H36" s="36" t="s">
        <v>24</v>
      </c>
      <c r="I36" s="35">
        <f>E36*COS(E38)</f>
        <v>-139852.81431620044</v>
      </c>
      <c r="J36" s="48" t="str">
        <f>_xlfn.CONCAT($F$4,"/s2")</f>
        <v>mm/s2</v>
      </c>
      <c r="K36" s="36"/>
      <c r="L36" s="6" t="s">
        <v>52</v>
      </c>
      <c r="M36" s="41">
        <f>SQRT(M33^2+M34^2)</f>
        <v>958785.8909250818</v>
      </c>
      <c r="N36" s="56" t="str">
        <f>_xlfn.CONCAT($F$4,"/s2")</f>
        <v>mm/s2</v>
      </c>
    </row>
    <row r="37" spans="2:14" x14ac:dyDescent="0.25">
      <c r="B37" s="70"/>
      <c r="C37" s="67"/>
      <c r="D37" s="7" t="s">
        <v>35</v>
      </c>
      <c r="E37" s="8">
        <f>DEGREES(E38)</f>
        <v>261.59265411667894</v>
      </c>
      <c r="F37" s="5" t="s">
        <v>16</v>
      </c>
      <c r="G37" s="5"/>
      <c r="H37" s="5" t="s">
        <v>27</v>
      </c>
      <c r="I37" s="8">
        <f>E36*SIN(E38)</f>
        <v>-946241.91342841927</v>
      </c>
      <c r="J37" s="26" t="str">
        <f>_xlfn.CONCAT($F$4,"/s2")</f>
        <v>mm/s2</v>
      </c>
      <c r="K37" s="5"/>
      <c r="L37" s="9" t="s">
        <v>38</v>
      </c>
      <c r="M37" s="10">
        <f>DEGREES(M38)</f>
        <v>-94.46841173197781</v>
      </c>
      <c r="N37" s="57" t="s">
        <v>16</v>
      </c>
    </row>
    <row r="38" spans="2:14" ht="13" thickBot="1" x14ac:dyDescent="0.3">
      <c r="B38" s="21"/>
      <c r="E38" s="59">
        <f>L4+I19+L6*PI()/2</f>
        <v>4.5656531133667464</v>
      </c>
      <c r="M38" s="59">
        <f>ATAN2(M33,M34)</f>
        <v>-1.6487848238526517</v>
      </c>
      <c r="N38" s="22"/>
    </row>
    <row r="39" spans="2:14" ht="13.5" thickBot="1" x14ac:dyDescent="0.35">
      <c r="B39" s="71" t="s">
        <v>15</v>
      </c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3"/>
    </row>
    <row r="41" spans="2:14" x14ac:dyDescent="0.25">
      <c r="D41" s="12"/>
      <c r="E41" s="63" t="s">
        <v>46</v>
      </c>
      <c r="F41" s="64"/>
    </row>
    <row r="42" spans="2:14" x14ac:dyDescent="0.25">
      <c r="D42" s="6"/>
      <c r="E42" s="63" t="s">
        <v>47</v>
      </c>
      <c r="F42" s="64"/>
    </row>
    <row r="45" spans="2:14" x14ac:dyDescent="0.25">
      <c r="D45" s="34" t="s">
        <v>55</v>
      </c>
      <c r="E45" s="34" t="s">
        <v>56</v>
      </c>
      <c r="F45" s="34"/>
    </row>
    <row r="46" spans="2:14" x14ac:dyDescent="0.25">
      <c r="D46" t="s">
        <v>57</v>
      </c>
      <c r="E46" s="34" t="s">
        <v>5</v>
      </c>
      <c r="F46" s="34"/>
    </row>
    <row r="47" spans="2:14" x14ac:dyDescent="0.25">
      <c r="D47" t="s">
        <v>58</v>
      </c>
      <c r="E47" s="34" t="s">
        <v>17</v>
      </c>
      <c r="F47" s="34"/>
    </row>
    <row r="48" spans="2:14" x14ac:dyDescent="0.25">
      <c r="D48" t="s">
        <v>59</v>
      </c>
      <c r="E48" s="34"/>
      <c r="F48" s="34"/>
    </row>
    <row r="49" spans="4:6" x14ac:dyDescent="0.25">
      <c r="D49" t="s">
        <v>60</v>
      </c>
      <c r="E49" s="34"/>
      <c r="F49" s="34"/>
    </row>
    <row r="50" spans="4:6" x14ac:dyDescent="0.25">
      <c r="D50" t="s">
        <v>61</v>
      </c>
      <c r="E50" s="34"/>
      <c r="F50" s="34"/>
    </row>
    <row r="51" spans="4:6" x14ac:dyDescent="0.25">
      <c r="D51" t="s">
        <v>62</v>
      </c>
      <c r="E51" s="34"/>
      <c r="F51" s="34"/>
    </row>
  </sheetData>
  <sheetProtection algorithmName="SHA-512" hashValue="F5Yvu+F9fBfUuxcY3zcROgH3J7FR2ZN6tEoIl/QToyFHezmawfWe/kNsvpg0zvGt21vacc7NR2OMH4MyspzCug==" saltValue="y2tVnkibhLUG1MAWqGHobQ==" spinCount="100000" sheet="1" objects="1" scenarios="1"/>
  <mergeCells count="8">
    <mergeCell ref="E42:F42"/>
    <mergeCell ref="C33:C37"/>
    <mergeCell ref="B27:B37"/>
    <mergeCell ref="B2:N2"/>
    <mergeCell ref="B39:N39"/>
    <mergeCell ref="B21:C25"/>
    <mergeCell ref="C27:C31"/>
    <mergeCell ref="E41:F41"/>
  </mergeCells>
  <phoneticPr fontId="2" type="noConversion"/>
  <dataValidations count="2">
    <dataValidation type="list" allowBlank="1" showInputMessage="1" showErrorMessage="1" sqref="F4" xr:uid="{324C29CE-7423-4FC1-97A2-C9C7B33F3644}">
      <formula1>$D$46:$D$51</formula1>
    </dataValidation>
    <dataValidation type="list" allowBlank="1" showInputMessage="1" showErrorMessage="1" sqref="F10" xr:uid="{1D202448-9A0B-4B25-B2F2-1CAA2079AAD0}">
      <formula1>$E$46:$E$47</formula1>
    </dataValidation>
  </dataValidations>
  <printOptions horizontalCentered="1" verticalCentered="1"/>
  <pageMargins left="0.39370078740157483" right="0.39370078740157483" top="0.39370078740157483" bottom="0.39370078740157483" header="0" footer="0"/>
  <pageSetup orientation="landscape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259B8-DFF1-4B30-A40F-7F932B4D081C}">
  <dimension ref="A1"/>
  <sheetViews>
    <sheetView workbookViewId="0"/>
  </sheetViews>
  <sheetFormatPr baseColWidth="10" defaultRowHeight="12.5" x14ac:dyDescent="0.25"/>
  <sheetData/>
  <phoneticPr fontId="2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EF8EC-1975-4F70-AA18-BC5F0332BAE0}">
  <dimension ref="A1"/>
  <sheetViews>
    <sheetView workbookViewId="0"/>
  </sheetViews>
  <sheetFormatPr baseColWidth="10" defaultRowHeight="12.5" x14ac:dyDescent="0.25"/>
  <sheetData/>
  <phoneticPr fontId="2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UAM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CEDAC - ALEXANDRIA</dc:creator>
  <cp:lastModifiedBy>Romy Pérez Moreno</cp:lastModifiedBy>
  <cp:lastPrinted>2004-09-01T15:42:37Z</cp:lastPrinted>
  <dcterms:created xsi:type="dcterms:W3CDTF">2004-05-19T18:30:29Z</dcterms:created>
  <dcterms:modified xsi:type="dcterms:W3CDTF">2024-12-17T00:49:28Z</dcterms:modified>
</cp:coreProperties>
</file>